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2660" windowHeight="16120" activeTab="0"/>
  </bookViews>
  <sheets>
    <sheet name="Summary" sheetId="1" r:id="rId1"/>
    <sheet name="Alternative A" sheetId="2" r:id="rId2"/>
    <sheet name="Alternative  B" sheetId="3" r:id="rId3"/>
    <sheet name="Alternative  C" sheetId="4" r:id="rId4"/>
  </sheets>
  <definedNames>
    <definedName name="_xlnm.Print_Area" localSheetId="2">'Alternative  B'!$A$45:$H$86</definedName>
    <definedName name="_xlnm.Print_Area" localSheetId="3">'Alternative  C'!$J$5:$T$22</definedName>
    <definedName name="_xlnm.Print_Area" localSheetId="1">'Alternative A'!$K$10:$U$27</definedName>
  </definedNames>
  <calcPr fullCalcOnLoad="1"/>
</workbook>
</file>

<file path=xl/sharedStrings.xml><?xml version="1.0" encoding="utf-8"?>
<sst xmlns="http://schemas.openxmlformats.org/spreadsheetml/2006/main" count="379" uniqueCount="76">
  <si>
    <t>Mayor's budget target cut in GF $400,000.00</t>
  </si>
  <si>
    <t>elimination of 1.00 fte Deputy Director, and</t>
  </si>
  <si>
    <t>moving some ftes around funding sources to</t>
  </si>
  <si>
    <t>meet the Mayor's budget target cut in GF</t>
  </si>
  <si>
    <t>Gal</t>
  </si>
  <si>
    <t>CEG</t>
  </si>
  <si>
    <t>Collection</t>
  </si>
  <si>
    <t>STR</t>
  </si>
  <si>
    <t>CAE</t>
  </si>
  <si>
    <t>Admin</t>
  </si>
  <si>
    <t>Accounting</t>
  </si>
  <si>
    <t>Docent</t>
  </si>
  <si>
    <t>Development</t>
  </si>
  <si>
    <t>Total</t>
  </si>
  <si>
    <t>Civic Design</t>
  </si>
  <si>
    <t>GF</t>
  </si>
  <si>
    <t>POP</t>
  </si>
  <si>
    <t>Hotel Tax</t>
  </si>
  <si>
    <t>Work Order</t>
  </si>
  <si>
    <t>Special Rev</t>
  </si>
  <si>
    <t>Arts Commission</t>
  </si>
  <si>
    <t>Staff Salary &amp; Benefits Summary</t>
  </si>
  <si>
    <t>Programs</t>
  </si>
  <si>
    <t>After Total</t>
  </si>
  <si>
    <t>Before Cut</t>
  </si>
  <si>
    <t>Cut $</t>
  </si>
  <si>
    <t>%</t>
  </si>
  <si>
    <t>%  Cut</t>
  </si>
  <si>
    <t>Before Cut FTE</t>
  </si>
  <si>
    <t>Cut FTE</t>
  </si>
  <si>
    <t>FTE %  Cut</t>
  </si>
  <si>
    <t>FY 2009-10 $ Value Per Funding Source</t>
  </si>
  <si>
    <t>FY 2008-09 $ Value Per Funding Source</t>
  </si>
  <si>
    <t>Public Art</t>
  </si>
  <si>
    <t>FY 2008-09 FTE % Per Funding Source</t>
  </si>
  <si>
    <t>FY 2009-10 FTE % Per Funding Source</t>
  </si>
  <si>
    <t>Alternative A : $ Value</t>
  </si>
  <si>
    <t>Alternative A : FTEs (Full Time Equivalents)</t>
  </si>
  <si>
    <t>Alternative B : $ Value</t>
  </si>
  <si>
    <t>Alternative B : FTEs (Full Time Equivalents)</t>
  </si>
  <si>
    <t>Alternative C : $ Value</t>
  </si>
  <si>
    <t>Alternative C : FTEs (Full Time Equivalents)</t>
  </si>
  <si>
    <t>Alternatives for Full Time Equivalents (FTEs) and % for Funding Sources</t>
  </si>
  <si>
    <t>Description</t>
  </si>
  <si>
    <t>POP Concerts</t>
  </si>
  <si>
    <t>Special Revenue</t>
  </si>
  <si>
    <t>FY 2008-09 Positions (FTEs)</t>
  </si>
  <si>
    <t>Fy 2009-10 Alternative  "A"</t>
  </si>
  <si>
    <t>Elimination of 1.00 fte Arts Education Manager,</t>
  </si>
  <si>
    <t xml:space="preserve">some ftes around funding sources to meet the </t>
  </si>
  <si>
    <t>FTEs Variance</t>
  </si>
  <si>
    <t>FTEs Variance %</t>
  </si>
  <si>
    <t>FY 2009-10 Alternative  "B"</t>
  </si>
  <si>
    <t>Retention of 1.00 fte Arts Education Manager,</t>
  </si>
  <si>
    <t xml:space="preserve">and moving some ftes around funding sources </t>
  </si>
  <si>
    <t>FY 2009-10 Alternative  "C"</t>
  </si>
  <si>
    <t xml:space="preserve">elimination of 1.00 fte Deputy Director, </t>
  </si>
  <si>
    <t>$</t>
  </si>
  <si>
    <t>FTE</t>
  </si>
  <si>
    <t>HL</t>
  </si>
  <si>
    <t>WO</t>
  </si>
  <si>
    <t>SR</t>
  </si>
  <si>
    <t>Deletion for Programm Assist</t>
  </si>
  <si>
    <t>Adjusted "C"</t>
  </si>
  <si>
    <t>Proposed "C"</t>
  </si>
  <si>
    <t>Alternative C : $ Value Worksheet</t>
  </si>
  <si>
    <t>Alternative A : $ Value Worksheet</t>
  </si>
  <si>
    <t>Adjusted "A"</t>
  </si>
  <si>
    <t>Proposed "A"</t>
  </si>
  <si>
    <t>Alternative B : $ Value Worksheet</t>
  </si>
  <si>
    <t xml:space="preserve">Elimination of 1.00 fte Deputy Director, </t>
  </si>
  <si>
    <t>retention of 1.00 fte Arts Education Manager,</t>
  </si>
  <si>
    <t>moving 0.50 fte for DPW Facility Maintenance</t>
  </si>
  <si>
    <t>Engineer to Capital Work Order, and moving</t>
  </si>
  <si>
    <t xml:space="preserve">reducing 0.50 fte for Development Director, </t>
  </si>
  <si>
    <t xml:space="preserve">to meet the Mayor's budget target cut in GF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</si>
</sst>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0.000%"/>
    <numFmt numFmtId="174" formatCode="0.00000%"/>
    <numFmt numFmtId="175" formatCode="0.000000%"/>
    <numFmt numFmtId="176" formatCode="0.0000%"/>
    <numFmt numFmtId="177" formatCode="_(* #,##0.000_);_(* \(#,##0.0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9" fontId="3" fillId="0" borderId="1" xfId="15" applyNumberFormat="1" applyFont="1" applyBorder="1" applyAlignment="1">
      <alignment/>
    </xf>
    <xf numFmtId="0" fontId="0" fillId="0" borderId="0" xfId="0" applyBorder="1" applyAlignment="1">
      <alignment/>
    </xf>
    <xf numFmtId="43" fontId="3" fillId="0" borderId="1" xfId="15" applyFont="1" applyBorder="1" applyAlignment="1">
      <alignment/>
    </xf>
    <xf numFmtId="169" fontId="3" fillId="0" borderId="0" xfId="15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169" fontId="3" fillId="0" borderId="8" xfId="15" applyNumberFormat="1" applyFont="1" applyBorder="1" applyAlignment="1">
      <alignment/>
    </xf>
    <xf numFmtId="169" fontId="3" fillId="0" borderId="6" xfId="15" applyNumberFormat="1" applyFont="1" applyBorder="1" applyAlignment="1">
      <alignment/>
    </xf>
    <xf numFmtId="0" fontId="0" fillId="0" borderId="9" xfId="0" applyBorder="1" applyAlignment="1">
      <alignment/>
    </xf>
    <xf numFmtId="43" fontId="3" fillId="0" borderId="0" xfId="15" applyFont="1" applyBorder="1" applyAlignment="1">
      <alignment/>
    </xf>
    <xf numFmtId="10" fontId="3" fillId="0" borderId="1" xfId="19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9" fontId="3" fillId="0" borderId="5" xfId="15" applyNumberFormat="1" applyFont="1" applyBorder="1" applyAlignment="1">
      <alignment/>
    </xf>
    <xf numFmtId="10" fontId="3" fillId="0" borderId="6" xfId="19" applyNumberFormat="1" applyFont="1" applyBorder="1" applyAlignment="1">
      <alignment/>
    </xf>
    <xf numFmtId="169" fontId="3" fillId="0" borderId="12" xfId="15" applyNumberFormat="1" applyFont="1" applyBorder="1" applyAlignment="1">
      <alignment/>
    </xf>
    <xf numFmtId="10" fontId="3" fillId="0" borderId="13" xfId="19" applyNumberFormat="1" applyFont="1" applyBorder="1" applyAlignment="1">
      <alignment/>
    </xf>
    <xf numFmtId="43" fontId="3" fillId="0" borderId="5" xfId="15" applyFont="1" applyBorder="1" applyAlignment="1">
      <alignment/>
    </xf>
    <xf numFmtId="43" fontId="3" fillId="0" borderId="12" xfId="15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169" fontId="1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1" fillId="0" borderId="0" xfId="15" applyNumberFormat="1" applyFont="1" applyAlignment="1">
      <alignment/>
    </xf>
    <xf numFmtId="169" fontId="1" fillId="0" borderId="0" xfId="0" applyNumberFormat="1" applyFont="1" applyAlignment="1">
      <alignment/>
    </xf>
    <xf numFmtId="169" fontId="5" fillId="0" borderId="0" xfId="15" applyNumberFormat="1" applyFont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169" fontId="3" fillId="0" borderId="20" xfId="15" applyNumberFormat="1" applyFont="1" applyBorder="1" applyAlignment="1">
      <alignment/>
    </xf>
    <xf numFmtId="43" fontId="3" fillId="0" borderId="20" xfId="15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0" borderId="2" xfId="0" applyBorder="1" applyAlignment="1">
      <alignment/>
    </xf>
    <xf numFmtId="43" fontId="0" fillId="0" borderId="16" xfId="15" applyFont="1" applyBorder="1" applyAlignment="1">
      <alignment/>
    </xf>
    <xf numFmtId="43" fontId="0" fillId="0" borderId="11" xfId="15" applyFont="1" applyBorder="1" applyAlignment="1">
      <alignment/>
    </xf>
    <xf numFmtId="43" fontId="0" fillId="0" borderId="6" xfId="15" applyFont="1" applyBorder="1" applyAlignment="1">
      <alignment/>
    </xf>
    <xf numFmtId="0" fontId="6" fillId="0" borderId="5" xfId="0" applyFont="1" applyBorder="1" applyAlignment="1">
      <alignment/>
    </xf>
    <xf numFmtId="43" fontId="0" fillId="0" borderId="1" xfId="15" applyFont="1" applyBorder="1" applyAlignment="1">
      <alignment/>
    </xf>
    <xf numFmtId="43" fontId="0" fillId="0" borderId="8" xfId="15" applyFont="1" applyBorder="1" applyAlignment="1">
      <alignment/>
    </xf>
    <xf numFmtId="10" fontId="0" fillId="0" borderId="1" xfId="19" applyNumberFormat="1" applyFont="1" applyBorder="1" applyAlignment="1">
      <alignment/>
    </xf>
    <xf numFmtId="10" fontId="0" fillId="0" borderId="8" xfId="19" applyNumberFormat="1" applyFont="1" applyBorder="1" applyAlignment="1">
      <alignment/>
    </xf>
    <xf numFmtId="43" fontId="0" fillId="0" borderId="14" xfId="15" applyFont="1" applyBorder="1" applyAlignment="1">
      <alignment/>
    </xf>
    <xf numFmtId="43" fontId="0" fillId="0" borderId="15" xfId="15" applyFont="1" applyBorder="1" applyAlignment="1">
      <alignment/>
    </xf>
    <xf numFmtId="43" fontId="0" fillId="0" borderId="0" xfId="15" applyFont="1" applyAlignment="1">
      <alignment/>
    </xf>
    <xf numFmtId="0" fontId="0" fillId="0" borderId="0" xfId="0" applyAlignment="1">
      <alignment horizontal="center"/>
    </xf>
    <xf numFmtId="43" fontId="1" fillId="0" borderId="0" xfId="15" applyFont="1" applyAlignment="1">
      <alignment/>
    </xf>
    <xf numFmtId="43" fontId="1" fillId="0" borderId="0" xfId="15" applyNumberFormat="1" applyFont="1" applyAlignment="1">
      <alignment/>
    </xf>
    <xf numFmtId="43" fontId="0" fillId="0" borderId="0" xfId="0" applyNumberFormat="1" applyAlignment="1">
      <alignment/>
    </xf>
    <xf numFmtId="43" fontId="1" fillId="0" borderId="1" xfId="15" applyFont="1" applyBorder="1" applyAlignment="1">
      <alignment/>
    </xf>
    <xf numFmtId="169" fontId="1" fillId="0" borderId="1" xfId="15" applyNumberFormat="1" applyFont="1" applyBorder="1" applyAlignment="1">
      <alignment/>
    </xf>
    <xf numFmtId="43" fontId="1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43" fontId="1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0" fillId="0" borderId="5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8" fontId="0" fillId="0" borderId="5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="125" zoomScaleNormal="125" workbookViewId="0" topLeftCell="A1">
      <selection activeCell="A4" sqref="A4"/>
    </sheetView>
  </sheetViews>
  <sheetFormatPr defaultColWidth="8.8515625" defaultRowHeight="12.75"/>
  <cols>
    <col min="1" max="1" width="41.421875" style="0" customWidth="1"/>
    <col min="2" max="5" width="11.421875" style="0" customWidth="1"/>
    <col min="6" max="6" width="15.28125" style="0" customWidth="1"/>
    <col min="7" max="7" width="11.421875" style="0" customWidth="1"/>
  </cols>
  <sheetData>
    <row r="2" ht="12">
      <c r="A2" s="35" t="s">
        <v>20</v>
      </c>
    </row>
    <row r="3" ht="12.75" thickBot="1">
      <c r="A3" s="33" t="s">
        <v>42</v>
      </c>
    </row>
    <row r="4" spans="1:7" ht="12">
      <c r="A4" s="70" t="s">
        <v>43</v>
      </c>
      <c r="B4" s="71" t="s">
        <v>15</v>
      </c>
      <c r="C4" s="71" t="s">
        <v>44</v>
      </c>
      <c r="D4" s="71" t="s">
        <v>17</v>
      </c>
      <c r="E4" s="71" t="s">
        <v>18</v>
      </c>
      <c r="F4" s="71" t="s">
        <v>45</v>
      </c>
      <c r="G4" s="72" t="s">
        <v>13</v>
      </c>
    </row>
    <row r="5" spans="1:7" ht="12.75" thickBot="1">
      <c r="A5" s="12"/>
      <c r="B5" s="3"/>
      <c r="C5" s="3"/>
      <c r="D5" s="3"/>
      <c r="E5" s="3"/>
      <c r="F5" s="3"/>
      <c r="G5" s="10"/>
    </row>
    <row r="6" spans="1:7" ht="12">
      <c r="A6" s="46" t="s">
        <v>46</v>
      </c>
      <c r="B6" s="47">
        <v>8.88</v>
      </c>
      <c r="C6" s="47">
        <v>6.3</v>
      </c>
      <c r="D6" s="47">
        <v>6.32</v>
      </c>
      <c r="E6" s="47">
        <v>11.07</v>
      </c>
      <c r="F6" s="47">
        <v>3</v>
      </c>
      <c r="G6" s="48">
        <f>SUM(B6:F6)</f>
        <v>35.57</v>
      </c>
    </row>
    <row r="7" spans="1:7" ht="12">
      <c r="A7" s="12"/>
      <c r="B7" s="32"/>
      <c r="C7" s="32"/>
      <c r="D7" s="32"/>
      <c r="E7" s="32"/>
      <c r="F7" s="32"/>
      <c r="G7" s="49"/>
    </row>
    <row r="8" spans="1:7" ht="12">
      <c r="A8" s="50" t="s">
        <v>47</v>
      </c>
      <c r="B8" s="32"/>
      <c r="C8" s="32"/>
      <c r="D8" s="32"/>
      <c r="E8" s="32"/>
      <c r="F8" s="32"/>
      <c r="G8" s="49"/>
    </row>
    <row r="9" spans="1:7" ht="12">
      <c r="A9" s="12" t="s">
        <v>70</v>
      </c>
      <c r="B9" s="32"/>
      <c r="C9" s="32"/>
      <c r="D9" s="32"/>
      <c r="E9" s="32"/>
      <c r="F9" s="32"/>
      <c r="G9" s="49"/>
    </row>
    <row r="10" spans="1:7" ht="12">
      <c r="A10" s="12" t="s">
        <v>71</v>
      </c>
      <c r="B10" s="32"/>
      <c r="C10" s="32"/>
      <c r="D10" s="32"/>
      <c r="E10" s="32"/>
      <c r="F10" s="32"/>
      <c r="G10" s="49"/>
    </row>
    <row r="11" spans="1:7" ht="12">
      <c r="A11" s="69" t="s">
        <v>72</v>
      </c>
      <c r="B11" s="32"/>
      <c r="C11" s="32"/>
      <c r="D11" s="32"/>
      <c r="E11" s="32"/>
      <c r="F11" s="32"/>
      <c r="G11" s="49"/>
    </row>
    <row r="12" spans="1:7" ht="12">
      <c r="A12" s="69" t="s">
        <v>73</v>
      </c>
      <c r="B12" s="32"/>
      <c r="C12" s="32"/>
      <c r="D12" s="32"/>
      <c r="E12" s="32"/>
      <c r="F12" s="32"/>
      <c r="G12" s="49"/>
    </row>
    <row r="13" spans="1:7" ht="12">
      <c r="A13" s="12" t="s">
        <v>49</v>
      </c>
      <c r="B13" s="32"/>
      <c r="C13" s="32"/>
      <c r="D13" s="32"/>
      <c r="E13" s="32"/>
      <c r="F13" s="32"/>
      <c r="G13" s="49"/>
    </row>
    <row r="14" spans="1:7" ht="12">
      <c r="A14" s="12" t="s">
        <v>0</v>
      </c>
      <c r="B14" s="51">
        <v>5.8</v>
      </c>
      <c r="C14" s="51">
        <v>6.38</v>
      </c>
      <c r="D14" s="51">
        <v>6.32</v>
      </c>
      <c r="E14" s="51">
        <v>12.53</v>
      </c>
      <c r="F14" s="51">
        <v>3</v>
      </c>
      <c r="G14" s="52">
        <f>SUM(B14:F14)</f>
        <v>34.03</v>
      </c>
    </row>
    <row r="15" spans="1:7" ht="12">
      <c r="A15" s="12"/>
      <c r="B15" s="32"/>
      <c r="C15" s="32"/>
      <c r="D15" s="32"/>
      <c r="E15" s="32"/>
      <c r="F15" s="32"/>
      <c r="G15" s="49"/>
    </row>
    <row r="16" spans="1:7" ht="12">
      <c r="A16" s="12" t="s">
        <v>50</v>
      </c>
      <c r="B16" s="51">
        <f>B14-B6</f>
        <v>-3.080000000000001</v>
      </c>
      <c r="C16" s="51">
        <f>C14-C6</f>
        <v>0.08000000000000007</v>
      </c>
      <c r="D16" s="51">
        <f>D14-D6</f>
        <v>0</v>
      </c>
      <c r="E16" s="51">
        <f>E14-E6</f>
        <v>1.459999999999999</v>
      </c>
      <c r="F16" s="51">
        <f>F14-F6</f>
        <v>0</v>
      </c>
      <c r="G16" s="52">
        <f>SUM(B16:F16)</f>
        <v>-1.5400000000000018</v>
      </c>
    </row>
    <row r="17" spans="1:7" ht="12">
      <c r="A17" s="12"/>
      <c r="B17" s="32"/>
      <c r="C17" s="32"/>
      <c r="D17" s="32"/>
      <c r="E17" s="32"/>
      <c r="F17" s="32"/>
      <c r="G17" s="49"/>
    </row>
    <row r="18" spans="1:7" ht="12">
      <c r="A18" s="12" t="s">
        <v>51</v>
      </c>
      <c r="B18" s="53">
        <f aca="true" t="shared" si="0" ref="B18:G18">B16/B6</f>
        <v>-0.3468468468468469</v>
      </c>
      <c r="C18" s="53">
        <f t="shared" si="0"/>
        <v>0.01269841269841271</v>
      </c>
      <c r="D18" s="53">
        <f t="shared" si="0"/>
        <v>0</v>
      </c>
      <c r="E18" s="53">
        <f t="shared" si="0"/>
        <v>0.13188798554652204</v>
      </c>
      <c r="F18" s="53">
        <f t="shared" si="0"/>
        <v>0</v>
      </c>
      <c r="G18" s="54">
        <f t="shared" si="0"/>
        <v>-0.04329491144222664</v>
      </c>
    </row>
    <row r="19" spans="1:7" ht="12.75" thickBot="1">
      <c r="A19" s="15"/>
      <c r="B19" s="55"/>
      <c r="C19" s="55"/>
      <c r="D19" s="55"/>
      <c r="E19" s="55"/>
      <c r="F19" s="55"/>
      <c r="G19" s="56"/>
    </row>
    <row r="20" spans="1:7" ht="12.75" thickBot="1">
      <c r="A20" s="12"/>
      <c r="B20" s="32"/>
      <c r="C20" s="32"/>
      <c r="D20" s="32"/>
      <c r="E20" s="32"/>
      <c r="F20" s="32"/>
      <c r="G20" s="49"/>
    </row>
    <row r="21" spans="1:7" ht="12">
      <c r="A21" s="46" t="s">
        <v>46</v>
      </c>
      <c r="B21" s="47">
        <v>8.88</v>
      </c>
      <c r="C21" s="47">
        <v>6.3</v>
      </c>
      <c r="D21" s="47">
        <v>6.32</v>
      </c>
      <c r="E21" s="47">
        <v>11.07</v>
      </c>
      <c r="F21" s="47">
        <v>3</v>
      </c>
      <c r="G21" s="48">
        <f>SUM(B21:F21)</f>
        <v>35.57</v>
      </c>
    </row>
    <row r="22" spans="1:7" ht="12">
      <c r="A22" s="12"/>
      <c r="B22" s="32"/>
      <c r="C22" s="32"/>
      <c r="D22" s="32"/>
      <c r="E22" s="32"/>
      <c r="F22" s="32"/>
      <c r="G22" s="49"/>
    </row>
    <row r="23" spans="1:7" ht="12">
      <c r="A23" s="50" t="s">
        <v>52</v>
      </c>
      <c r="B23" s="32"/>
      <c r="C23" s="32"/>
      <c r="D23" s="32"/>
      <c r="E23" s="32"/>
      <c r="F23" s="32"/>
      <c r="G23" s="49"/>
    </row>
    <row r="24" spans="1:7" ht="12">
      <c r="A24" s="12" t="s">
        <v>53</v>
      </c>
      <c r="B24" s="32"/>
      <c r="C24" s="32"/>
      <c r="D24" s="32"/>
      <c r="E24" s="32"/>
      <c r="F24" s="32"/>
      <c r="G24" s="49"/>
    </row>
    <row r="25" spans="1:7" ht="12">
      <c r="A25" s="12" t="s">
        <v>56</v>
      </c>
      <c r="B25" s="32"/>
      <c r="C25" s="32"/>
      <c r="D25" s="32"/>
      <c r="E25" s="32"/>
      <c r="F25" s="32"/>
      <c r="G25" s="49"/>
    </row>
    <row r="26" spans="1:7" ht="12">
      <c r="A26" s="12" t="s">
        <v>74</v>
      </c>
      <c r="B26" s="32"/>
      <c r="C26" s="32"/>
      <c r="D26" s="32"/>
      <c r="E26" s="32"/>
      <c r="F26" s="32"/>
      <c r="G26" s="49"/>
    </row>
    <row r="27" spans="1:7" ht="12">
      <c r="A27" s="12" t="s">
        <v>54</v>
      </c>
      <c r="B27" s="32"/>
      <c r="C27" s="32"/>
      <c r="D27" s="32"/>
      <c r="E27" s="32"/>
      <c r="F27" s="32"/>
      <c r="G27" s="49"/>
    </row>
    <row r="28" spans="1:7" ht="12">
      <c r="A28" s="12" t="s">
        <v>75</v>
      </c>
      <c r="B28" s="32"/>
      <c r="C28" s="32"/>
      <c r="D28" s="32"/>
      <c r="E28" s="32"/>
      <c r="F28" s="32"/>
      <c r="G28" s="49"/>
    </row>
    <row r="29" spans="1:7" ht="12">
      <c r="A29" s="73">
        <v>400000</v>
      </c>
      <c r="B29" s="51">
        <v>5.59</v>
      </c>
      <c r="C29" s="51">
        <v>6.59</v>
      </c>
      <c r="D29" s="51">
        <v>6.32</v>
      </c>
      <c r="E29" s="51">
        <v>12.03</v>
      </c>
      <c r="F29" s="51">
        <v>3</v>
      </c>
      <c r="G29" s="52">
        <f>SUM(B29:F29)</f>
        <v>33.53</v>
      </c>
    </row>
    <row r="30" spans="1:7" ht="12">
      <c r="A30" s="12"/>
      <c r="B30" s="32"/>
      <c r="C30" s="32"/>
      <c r="D30" s="32"/>
      <c r="E30" s="32"/>
      <c r="F30" s="32"/>
      <c r="G30" s="49"/>
    </row>
    <row r="31" spans="1:7" ht="12">
      <c r="A31" s="12" t="s">
        <v>50</v>
      </c>
      <c r="B31" s="51">
        <f>B29-B21</f>
        <v>-3.290000000000001</v>
      </c>
      <c r="C31" s="51">
        <f>C29-C21</f>
        <v>0.29000000000000004</v>
      </c>
      <c r="D31" s="51">
        <f>D29-D21</f>
        <v>0</v>
      </c>
      <c r="E31" s="51">
        <f>E29-E21</f>
        <v>0.9599999999999991</v>
      </c>
      <c r="F31" s="51">
        <f>F29-F21</f>
        <v>0</v>
      </c>
      <c r="G31" s="52">
        <f>SUM(B31:F31)</f>
        <v>-2.040000000000002</v>
      </c>
    </row>
    <row r="32" spans="1:7" ht="12">
      <c r="A32" s="12"/>
      <c r="B32" s="32"/>
      <c r="C32" s="32"/>
      <c r="D32" s="32"/>
      <c r="E32" s="32"/>
      <c r="F32" s="32"/>
      <c r="G32" s="49"/>
    </row>
    <row r="33" spans="1:7" ht="12">
      <c r="A33" s="12" t="s">
        <v>51</v>
      </c>
      <c r="B33" s="53">
        <f aca="true" t="shared" si="1" ref="B33:G33">B31/B21</f>
        <v>-0.37049549549549554</v>
      </c>
      <c r="C33" s="53">
        <f t="shared" si="1"/>
        <v>0.04603174603174604</v>
      </c>
      <c r="D33" s="53">
        <f t="shared" si="1"/>
        <v>0</v>
      </c>
      <c r="E33" s="53">
        <f t="shared" si="1"/>
        <v>0.086720867208672</v>
      </c>
      <c r="F33" s="53">
        <f t="shared" si="1"/>
        <v>0</v>
      </c>
      <c r="G33" s="54">
        <f t="shared" si="1"/>
        <v>-0.05735170087152099</v>
      </c>
    </row>
    <row r="34" spans="1:7" ht="12.75" thickBot="1">
      <c r="A34" s="15"/>
      <c r="B34" s="55"/>
      <c r="C34" s="55"/>
      <c r="D34" s="55"/>
      <c r="E34" s="55"/>
      <c r="F34" s="55"/>
      <c r="G34" s="56"/>
    </row>
    <row r="35" spans="1:7" ht="12.75" thickBot="1">
      <c r="A35" s="12"/>
      <c r="B35" s="32"/>
      <c r="C35" s="32"/>
      <c r="D35" s="32"/>
      <c r="E35" s="32"/>
      <c r="F35" s="32"/>
      <c r="G35" s="49"/>
    </row>
    <row r="36" spans="1:7" ht="12">
      <c r="A36" s="46" t="s">
        <v>46</v>
      </c>
      <c r="B36" s="47">
        <v>8.88</v>
      </c>
      <c r="C36" s="47">
        <v>6.3</v>
      </c>
      <c r="D36" s="47">
        <v>6.32</v>
      </c>
      <c r="E36" s="47">
        <v>11.07</v>
      </c>
      <c r="F36" s="47">
        <v>3</v>
      </c>
      <c r="G36" s="48">
        <f>SUM(B36:F36)</f>
        <v>35.57</v>
      </c>
    </row>
    <row r="37" spans="1:7" ht="12">
      <c r="A37" s="12"/>
      <c r="B37" s="32"/>
      <c r="C37" s="32"/>
      <c r="D37" s="32"/>
      <c r="E37" s="32"/>
      <c r="F37" s="32"/>
      <c r="G37" s="49"/>
    </row>
    <row r="38" spans="1:7" ht="12">
      <c r="A38" s="50" t="s">
        <v>55</v>
      </c>
      <c r="B38" s="32"/>
      <c r="C38" s="32"/>
      <c r="D38" s="32"/>
      <c r="E38" s="32"/>
      <c r="F38" s="32"/>
      <c r="G38" s="49"/>
    </row>
    <row r="39" spans="1:7" ht="12">
      <c r="A39" s="12" t="s">
        <v>48</v>
      </c>
      <c r="B39" s="32"/>
      <c r="C39" s="32"/>
      <c r="D39" s="32"/>
      <c r="E39" s="32"/>
      <c r="F39" s="32"/>
      <c r="G39" s="49"/>
    </row>
    <row r="40" spans="1:7" ht="12">
      <c r="A40" s="12" t="s">
        <v>1</v>
      </c>
      <c r="B40" s="32"/>
      <c r="C40" s="32"/>
      <c r="D40" s="32"/>
      <c r="E40" s="32"/>
      <c r="F40" s="32"/>
      <c r="G40" s="49"/>
    </row>
    <row r="41" spans="1:7" ht="12">
      <c r="A41" s="12" t="s">
        <v>2</v>
      </c>
      <c r="B41" s="32"/>
      <c r="C41" s="32"/>
      <c r="D41" s="32"/>
      <c r="E41" s="32"/>
      <c r="F41" s="32"/>
      <c r="G41" s="49"/>
    </row>
    <row r="42" spans="1:7" ht="12">
      <c r="A42" s="12" t="s">
        <v>3</v>
      </c>
      <c r="B42" s="32"/>
      <c r="C42" s="32"/>
      <c r="D42" s="32"/>
      <c r="E42" s="32"/>
      <c r="F42" s="32"/>
      <c r="G42" s="49"/>
    </row>
    <row r="43" spans="1:7" ht="12">
      <c r="A43" s="73">
        <v>400000</v>
      </c>
      <c r="B43" s="51">
        <v>5.73</v>
      </c>
      <c r="C43" s="51">
        <v>6.3</v>
      </c>
      <c r="D43" s="51">
        <v>6.47</v>
      </c>
      <c r="E43" s="51">
        <v>12.03</v>
      </c>
      <c r="F43" s="51">
        <v>2.5</v>
      </c>
      <c r="G43" s="52">
        <f>SUM(B43:F43)</f>
        <v>33.03</v>
      </c>
    </row>
    <row r="44" spans="1:7" ht="12">
      <c r="A44" s="12"/>
      <c r="B44" s="32"/>
      <c r="C44" s="32"/>
      <c r="D44" s="32"/>
      <c r="E44" s="32"/>
      <c r="F44" s="32"/>
      <c r="G44" s="49"/>
    </row>
    <row r="45" spans="1:7" ht="12">
      <c r="A45" s="12" t="s">
        <v>50</v>
      </c>
      <c r="B45" s="51">
        <f>B43-B36</f>
        <v>-3.1500000000000004</v>
      </c>
      <c r="C45" s="51">
        <f>C43-C36</f>
        <v>0</v>
      </c>
      <c r="D45" s="51">
        <f>D43-D36</f>
        <v>0.14999999999999947</v>
      </c>
      <c r="E45" s="51">
        <f>E43-E36</f>
        <v>0.9599999999999991</v>
      </c>
      <c r="F45" s="51">
        <f>F43-F36</f>
        <v>-0.5</v>
      </c>
      <c r="G45" s="52">
        <f>SUM(B45:F45)</f>
        <v>-2.540000000000002</v>
      </c>
    </row>
    <row r="46" spans="1:7" ht="12">
      <c r="A46" s="12"/>
      <c r="B46" s="32"/>
      <c r="C46" s="32"/>
      <c r="D46" s="32"/>
      <c r="E46" s="32"/>
      <c r="F46" s="32"/>
      <c r="G46" s="49"/>
    </row>
    <row r="47" spans="1:7" ht="12">
      <c r="A47" s="12" t="s">
        <v>51</v>
      </c>
      <c r="B47" s="53">
        <f aca="true" t="shared" si="2" ref="B47:G47">B45/B36</f>
        <v>-0.3547297297297297</v>
      </c>
      <c r="C47" s="53">
        <f t="shared" si="2"/>
        <v>0</v>
      </c>
      <c r="D47" s="53">
        <f t="shared" si="2"/>
        <v>0.023734177215189788</v>
      </c>
      <c r="E47" s="53">
        <f t="shared" si="2"/>
        <v>0.086720867208672</v>
      </c>
      <c r="F47" s="53">
        <f t="shared" si="2"/>
        <v>-0.16666666666666666</v>
      </c>
      <c r="G47" s="54">
        <f t="shared" si="2"/>
        <v>-0.07140849030081535</v>
      </c>
    </row>
    <row r="48" spans="1:7" ht="12.75" thickBot="1">
      <c r="A48" s="15"/>
      <c r="B48" s="55"/>
      <c r="C48" s="55"/>
      <c r="D48" s="55"/>
      <c r="E48" s="55"/>
      <c r="F48" s="55"/>
      <c r="G48" s="56"/>
    </row>
  </sheetData>
  <printOptions gridLines="1"/>
  <pageMargins left="1" right="0.25" top="0.25" bottom="0" header="0.5" footer="0.5"/>
  <pageSetup horizontalDpi="600" verticalDpi="600" orientation="landscape" paperSize="5" scale="95"/>
  <headerFooter alignWithMargins="0">
    <oddFooter>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84"/>
  <sheetViews>
    <sheetView workbookViewId="0" topLeftCell="A1">
      <selection activeCell="A1" sqref="A1"/>
    </sheetView>
  </sheetViews>
  <sheetFormatPr defaultColWidth="8.8515625" defaultRowHeight="12.75"/>
  <cols>
    <col min="1" max="1" width="15.421875" style="0" customWidth="1"/>
    <col min="2" max="2" width="10.7109375" style="0" customWidth="1"/>
    <col min="4" max="4" width="11.140625" style="0" customWidth="1"/>
    <col min="5" max="5" width="11.28125" style="0" customWidth="1"/>
    <col min="6" max="6" width="12.140625" style="0" customWidth="1"/>
    <col min="7" max="7" width="11.7109375" style="0" customWidth="1"/>
    <col min="10" max="11" width="12.421875" style="0" customWidth="1"/>
    <col min="12" max="12" width="11.00390625" style="0" customWidth="1"/>
    <col min="13" max="13" width="10.28125" style="0" bestFit="1" customWidth="1"/>
  </cols>
  <sheetData>
    <row r="1" ht="12.75" thickBot="1"/>
    <row r="2" spans="6:7" ht="12.75" thickBot="1">
      <c r="F2" s="39" t="s">
        <v>36</v>
      </c>
      <c r="G2" s="43"/>
    </row>
    <row r="3" spans="1:8" ht="12">
      <c r="A3" s="6" t="s">
        <v>20</v>
      </c>
      <c r="B3" s="7"/>
      <c r="C3" s="7"/>
      <c r="D3" s="7"/>
      <c r="E3" s="7"/>
      <c r="F3" s="7"/>
      <c r="G3" s="7"/>
      <c r="H3" s="8"/>
    </row>
    <row r="4" spans="1:8" ht="12">
      <c r="A4" s="9" t="s">
        <v>21</v>
      </c>
      <c r="B4" s="3"/>
      <c r="C4" s="3"/>
      <c r="D4" s="3"/>
      <c r="E4" s="3"/>
      <c r="F4" s="3"/>
      <c r="G4" s="3"/>
      <c r="H4" s="10"/>
    </row>
    <row r="5" spans="1:8" ht="12.75" thickBot="1">
      <c r="A5" s="9" t="s">
        <v>32</v>
      </c>
      <c r="B5" s="3"/>
      <c r="C5" s="3"/>
      <c r="D5" s="3"/>
      <c r="E5" s="3"/>
      <c r="F5" s="3"/>
      <c r="G5" s="3"/>
      <c r="H5" s="10"/>
    </row>
    <row r="6" spans="1:8" ht="12">
      <c r="A6" s="28" t="s">
        <v>22</v>
      </c>
      <c r="B6" s="29" t="s">
        <v>15</v>
      </c>
      <c r="C6" s="29" t="s">
        <v>16</v>
      </c>
      <c r="D6" s="29" t="s">
        <v>17</v>
      </c>
      <c r="E6" s="29" t="s">
        <v>18</v>
      </c>
      <c r="F6" s="29" t="s">
        <v>19</v>
      </c>
      <c r="G6" s="18" t="s">
        <v>23</v>
      </c>
      <c r="H6" s="19" t="s">
        <v>26</v>
      </c>
    </row>
    <row r="7" spans="1:8" ht="12">
      <c r="A7" s="12" t="s">
        <v>4</v>
      </c>
      <c r="B7" s="5"/>
      <c r="C7" s="5">
        <f>93925+59930+25287</f>
        <v>179142</v>
      </c>
      <c r="D7" s="5"/>
      <c r="E7" s="5"/>
      <c r="F7" s="5"/>
      <c r="G7" s="20">
        <f>SUM(B7:F7)</f>
        <v>179142</v>
      </c>
      <c r="H7" s="21">
        <f>G7/G18</f>
        <v>0.05716875188483405</v>
      </c>
    </row>
    <row r="8" spans="1:8" ht="12">
      <c r="A8" s="12" t="s">
        <v>5</v>
      </c>
      <c r="B8" s="5"/>
      <c r="C8" s="5"/>
      <c r="D8" s="5">
        <f>98378+71988+68575+62205+41600</f>
        <v>342746</v>
      </c>
      <c r="E8" s="5"/>
      <c r="F8" s="5"/>
      <c r="G8" s="20">
        <f aca="true" t="shared" si="0" ref="G8:G17">SUM(B8:F8)</f>
        <v>342746</v>
      </c>
      <c r="H8" s="21">
        <f>G8/G18</f>
        <v>0.10937893421709778</v>
      </c>
    </row>
    <row r="9" spans="1:8" ht="12.75" thickBot="1">
      <c r="A9" s="12" t="s">
        <v>33</v>
      </c>
      <c r="B9" s="5">
        <v>142683</v>
      </c>
      <c r="C9" s="5">
        <v>85800</v>
      </c>
      <c r="D9" s="5"/>
      <c r="E9" s="5">
        <v>557740</v>
      </c>
      <c r="F9" s="5"/>
      <c r="G9" s="20">
        <f t="shared" si="0"/>
        <v>786223</v>
      </c>
      <c r="H9" s="21">
        <f>G9/G18</f>
        <v>0.2509036831851262</v>
      </c>
    </row>
    <row r="10" spans="1:12" ht="12.75" thickBot="1">
      <c r="A10" s="12" t="s">
        <v>6</v>
      </c>
      <c r="B10" s="5">
        <v>90090</v>
      </c>
      <c r="C10" s="5">
        <v>0</v>
      </c>
      <c r="D10" s="5"/>
      <c r="E10" s="5">
        <v>55868</v>
      </c>
      <c r="F10" s="5"/>
      <c r="G10" s="20">
        <f t="shared" si="0"/>
        <v>145958</v>
      </c>
      <c r="H10" s="21">
        <f>G10/G18</f>
        <v>0.04657889656030751</v>
      </c>
      <c r="L10" s="68" t="s">
        <v>66</v>
      </c>
    </row>
    <row r="11" spans="1:8" ht="12">
      <c r="A11" s="12" t="s">
        <v>7</v>
      </c>
      <c r="B11" s="5"/>
      <c r="C11" s="5"/>
      <c r="D11" s="5"/>
      <c r="E11" s="5"/>
      <c r="F11" s="5">
        <f>85800+72865</f>
        <v>158665</v>
      </c>
      <c r="G11" s="20">
        <f t="shared" si="0"/>
        <v>158665</v>
      </c>
      <c r="H11" s="21">
        <f>G11/G18</f>
        <v>0.05063402227175757</v>
      </c>
    </row>
    <row r="12" spans="1:8" ht="12">
      <c r="A12" s="12" t="s">
        <v>8</v>
      </c>
      <c r="B12" s="5">
        <v>169482</v>
      </c>
      <c r="C12" s="5">
        <v>37798</v>
      </c>
      <c r="D12" s="5">
        <v>153363</v>
      </c>
      <c r="E12" s="5">
        <v>161395</v>
      </c>
      <c r="F12" s="5">
        <v>77838</v>
      </c>
      <c r="G12" s="20">
        <f t="shared" si="0"/>
        <v>599876</v>
      </c>
      <c r="H12" s="21">
        <f>G12/G18</f>
        <v>0.19143563321648027</v>
      </c>
    </row>
    <row r="13" spans="1:21" ht="12">
      <c r="A13" s="12" t="s">
        <v>9</v>
      </c>
      <c r="B13" s="5">
        <v>413496</v>
      </c>
      <c r="C13" s="5"/>
      <c r="D13" s="5"/>
      <c r="E13" s="5"/>
      <c r="F13" s="5"/>
      <c r="G13" s="20">
        <f t="shared" si="0"/>
        <v>413496</v>
      </c>
      <c r="H13" s="21">
        <f>G13/G18</f>
        <v>0.1319570521115726</v>
      </c>
      <c r="L13" s="74" t="s">
        <v>15</v>
      </c>
      <c r="M13" s="74"/>
      <c r="N13" s="74" t="s">
        <v>16</v>
      </c>
      <c r="O13" s="74"/>
      <c r="P13" s="74" t="s">
        <v>59</v>
      </c>
      <c r="Q13" s="74"/>
      <c r="R13" s="74" t="s">
        <v>60</v>
      </c>
      <c r="S13" s="74"/>
      <c r="T13" s="74" t="s">
        <v>61</v>
      </c>
      <c r="U13" s="74"/>
    </row>
    <row r="14" spans="1:21" ht="12">
      <c r="A14" s="12" t="s">
        <v>10</v>
      </c>
      <c r="B14" s="5">
        <f>131820*0.7</f>
        <v>92274</v>
      </c>
      <c r="C14" s="5">
        <f>80925+131820*0.3</f>
        <v>120471</v>
      </c>
      <c r="D14" s="5"/>
      <c r="E14" s="5">
        <v>37768</v>
      </c>
      <c r="F14" s="5"/>
      <c r="G14" s="20">
        <f t="shared" si="0"/>
        <v>250513</v>
      </c>
      <c r="H14" s="21">
        <f>G14/G18</f>
        <v>0.07994504661623422</v>
      </c>
      <c r="L14" s="58" t="s">
        <v>58</v>
      </c>
      <c r="M14" s="58" t="s">
        <v>57</v>
      </c>
      <c r="N14" s="58" t="s">
        <v>58</v>
      </c>
      <c r="O14" s="58" t="s">
        <v>57</v>
      </c>
      <c r="P14" s="58" t="s">
        <v>58</v>
      </c>
      <c r="Q14" s="58" t="s">
        <v>57</v>
      </c>
      <c r="R14" s="58" t="s">
        <v>58</v>
      </c>
      <c r="S14" s="58" t="s">
        <v>57</v>
      </c>
      <c r="T14" s="58" t="s">
        <v>58</v>
      </c>
      <c r="U14" s="58" t="s">
        <v>57</v>
      </c>
    </row>
    <row r="15" spans="1:21" ht="12">
      <c r="A15" s="12" t="s">
        <v>14</v>
      </c>
      <c r="B15" s="5"/>
      <c r="C15" s="5">
        <v>76863</v>
      </c>
      <c r="D15" s="5"/>
      <c r="E15" s="5"/>
      <c r="F15" s="5"/>
      <c r="G15" s="20">
        <f t="shared" si="0"/>
        <v>76863</v>
      </c>
      <c r="H15" s="21">
        <f>G15/G18</f>
        <v>0.0245289311056257</v>
      </c>
      <c r="K15">
        <v>1</v>
      </c>
      <c r="L15" s="59">
        <v>-1</v>
      </c>
      <c r="M15" s="36">
        <v>-142683</v>
      </c>
      <c r="P15" s="36"/>
      <c r="Q15" s="36"/>
      <c r="R15" s="36"/>
      <c r="S15" s="36"/>
      <c r="T15" s="60"/>
      <c r="U15" s="36"/>
    </row>
    <row r="16" spans="1:21" ht="12">
      <c r="A16" s="12" t="s">
        <v>11</v>
      </c>
      <c r="B16" s="5">
        <v>81705</v>
      </c>
      <c r="C16" s="5"/>
      <c r="D16" s="5"/>
      <c r="E16" s="5"/>
      <c r="F16" s="5"/>
      <c r="G16" s="20">
        <f t="shared" si="0"/>
        <v>81705</v>
      </c>
      <c r="H16" s="21">
        <f>G16/G18</f>
        <v>0.026074136008029193</v>
      </c>
      <c r="K16">
        <v>2</v>
      </c>
      <c r="L16" s="59">
        <v>-1</v>
      </c>
      <c r="M16" s="36">
        <v>-98378</v>
      </c>
      <c r="N16" s="60">
        <v>1</v>
      </c>
      <c r="O16" s="36">
        <v>98378</v>
      </c>
      <c r="P16" s="59"/>
      <c r="Q16" s="36"/>
      <c r="R16" s="36"/>
      <c r="S16" s="36"/>
      <c r="T16" s="36"/>
      <c r="U16" s="36"/>
    </row>
    <row r="17" spans="1:21" ht="12">
      <c r="A17" s="12" t="s">
        <v>12</v>
      </c>
      <c r="B17" s="31">
        <v>98378</v>
      </c>
      <c r="C17" s="5"/>
      <c r="D17" s="5"/>
      <c r="E17" s="5"/>
      <c r="F17" s="5"/>
      <c r="G17" s="20">
        <f t="shared" si="0"/>
        <v>98378</v>
      </c>
      <c r="H17" s="21">
        <f>G17/G18</f>
        <v>0.0313949128229349</v>
      </c>
      <c r="K17">
        <v>3</v>
      </c>
      <c r="N17" s="60">
        <v>-1</v>
      </c>
      <c r="O17" s="36">
        <v>-85800</v>
      </c>
      <c r="P17" s="59"/>
      <c r="Q17" s="36"/>
      <c r="R17" s="59">
        <v>1</v>
      </c>
      <c r="S17" s="36">
        <v>85800</v>
      </c>
      <c r="T17" s="36"/>
      <c r="U17" s="36"/>
    </row>
    <row r="18" spans="1:21" ht="12.75" thickBot="1">
      <c r="A18" s="15" t="s">
        <v>13</v>
      </c>
      <c r="B18" s="41">
        <f aca="true" t="shared" si="1" ref="B18:G18">SUM(B7:B17)</f>
        <v>1088108</v>
      </c>
      <c r="C18" s="41">
        <f>SUM(C7:C17)</f>
        <v>500074</v>
      </c>
      <c r="D18" s="41">
        <f t="shared" si="1"/>
        <v>496109</v>
      </c>
      <c r="E18" s="41">
        <f t="shared" si="1"/>
        <v>812771</v>
      </c>
      <c r="F18" s="41">
        <f t="shared" si="1"/>
        <v>236503</v>
      </c>
      <c r="G18" s="22">
        <f t="shared" si="1"/>
        <v>3133565</v>
      </c>
      <c r="H18" s="23">
        <v>1</v>
      </c>
      <c r="K18">
        <v>4</v>
      </c>
      <c r="L18" s="59">
        <v>-0.5</v>
      </c>
      <c r="M18" s="36">
        <v>-71342</v>
      </c>
      <c r="N18" s="36"/>
      <c r="O18" s="36"/>
      <c r="P18" s="59"/>
      <c r="Q18" s="36"/>
      <c r="R18" s="59">
        <v>0.5</v>
      </c>
      <c r="S18" s="36">
        <v>71342</v>
      </c>
      <c r="T18" s="36"/>
      <c r="U18" s="36"/>
    </row>
    <row r="19" spans="1:21" ht="12">
      <c r="A19" s="12"/>
      <c r="B19" s="5"/>
      <c r="C19" s="5"/>
      <c r="D19" s="5"/>
      <c r="E19" s="5"/>
      <c r="F19" s="5"/>
      <c r="G19" s="5"/>
      <c r="H19" s="21"/>
      <c r="K19">
        <v>5</v>
      </c>
      <c r="L19" s="59">
        <v>-0.5</v>
      </c>
      <c r="M19" s="36">
        <v>-76614</v>
      </c>
      <c r="N19" s="36"/>
      <c r="O19" s="36"/>
      <c r="P19" s="59"/>
      <c r="Q19" s="36"/>
      <c r="R19" s="59">
        <v>0.5</v>
      </c>
      <c r="S19" s="36">
        <v>76614</v>
      </c>
      <c r="T19" s="59"/>
      <c r="U19" s="36"/>
    </row>
    <row r="20" spans="1:21" ht="12.75" thickBot="1">
      <c r="A20" s="9" t="s">
        <v>31</v>
      </c>
      <c r="B20" s="3"/>
      <c r="C20" s="3"/>
      <c r="D20" s="3"/>
      <c r="E20" s="3"/>
      <c r="F20" s="3"/>
      <c r="G20" s="3"/>
      <c r="H20" s="10"/>
      <c r="K20">
        <v>6</v>
      </c>
      <c r="L20" s="59">
        <v>-0.08</v>
      </c>
      <c r="M20" s="36">
        <v>-10983</v>
      </c>
      <c r="N20" s="60">
        <v>0.08</v>
      </c>
      <c r="O20" s="36">
        <v>10983</v>
      </c>
      <c r="T20" s="59"/>
      <c r="U20" s="36"/>
    </row>
    <row r="21" spans="1:21" ht="12">
      <c r="A21" s="11" t="s">
        <v>22</v>
      </c>
      <c r="B21" s="1" t="s">
        <v>15</v>
      </c>
      <c r="C21" s="1" t="s">
        <v>16</v>
      </c>
      <c r="D21" s="1" t="s">
        <v>17</v>
      </c>
      <c r="E21" s="1" t="s">
        <v>18</v>
      </c>
      <c r="F21" s="1" t="s">
        <v>19</v>
      </c>
      <c r="G21" s="18" t="s">
        <v>23</v>
      </c>
      <c r="H21" s="19" t="s">
        <v>26</v>
      </c>
      <c r="L21" s="62">
        <f aca="true" t="shared" si="2" ref="L21:U21">SUM(L15:L20)</f>
        <v>-3.08</v>
      </c>
      <c r="M21" s="63">
        <f t="shared" si="2"/>
        <v>-400000</v>
      </c>
      <c r="N21" s="62">
        <f t="shared" si="2"/>
        <v>0.08</v>
      </c>
      <c r="O21" s="63">
        <f t="shared" si="2"/>
        <v>23561</v>
      </c>
      <c r="P21" s="62">
        <f t="shared" si="2"/>
        <v>0</v>
      </c>
      <c r="Q21" s="63">
        <f t="shared" si="2"/>
        <v>0</v>
      </c>
      <c r="R21" s="62">
        <f t="shared" si="2"/>
        <v>2</v>
      </c>
      <c r="S21" s="63">
        <f t="shared" si="2"/>
        <v>233756</v>
      </c>
      <c r="T21" s="62">
        <f t="shared" si="2"/>
        <v>0</v>
      </c>
      <c r="U21" s="63">
        <f t="shared" si="2"/>
        <v>0</v>
      </c>
    </row>
    <row r="22" spans="1:21" ht="12">
      <c r="A22" s="12" t="s">
        <v>4</v>
      </c>
      <c r="B22" s="5"/>
      <c r="C22" s="5">
        <f>93925+59930+25287</f>
        <v>179142</v>
      </c>
      <c r="D22" s="5"/>
      <c r="E22" s="5"/>
      <c r="F22" s="5"/>
      <c r="G22" s="20">
        <f>SUM(B22:F22)</f>
        <v>179142</v>
      </c>
      <c r="H22" s="21">
        <f>G22/G33</f>
        <v>0.060559839275156103</v>
      </c>
      <c r="K22" t="s">
        <v>62</v>
      </c>
      <c r="L22" s="59"/>
      <c r="M22" s="36"/>
      <c r="N22" s="64"/>
      <c r="O22" s="63"/>
      <c r="P22" s="62"/>
      <c r="Q22" s="63"/>
      <c r="R22" s="62">
        <v>-0.54</v>
      </c>
      <c r="S22" s="63">
        <v>-32783</v>
      </c>
      <c r="T22" s="62"/>
      <c r="U22" s="63"/>
    </row>
    <row r="23" spans="1:21" ht="12">
      <c r="A23" s="12" t="s">
        <v>5</v>
      </c>
      <c r="B23" s="5"/>
      <c r="C23" s="5"/>
      <c r="D23" s="5">
        <f>98378+71988+68575+62205+41600</f>
        <v>342746</v>
      </c>
      <c r="E23" s="5"/>
      <c r="F23" s="5"/>
      <c r="G23" s="20">
        <f aca="true" t="shared" si="3" ref="G23:G31">SUM(B23:F23)</f>
        <v>342746</v>
      </c>
      <c r="H23" s="21">
        <f>G23/G33</f>
        <v>0.11586698078732321</v>
      </c>
      <c r="K23" t="s">
        <v>67</v>
      </c>
      <c r="N23" s="65"/>
      <c r="O23" s="65"/>
      <c r="P23" s="65"/>
      <c r="Q23" s="65"/>
      <c r="R23" s="66">
        <f>R21+R22</f>
        <v>1.46</v>
      </c>
      <c r="S23" s="67">
        <f>S21+S22</f>
        <v>200973</v>
      </c>
      <c r="T23" s="62"/>
      <c r="U23" s="63"/>
    </row>
    <row r="24" spans="1:21" ht="12">
      <c r="A24" s="12" t="s">
        <v>33</v>
      </c>
      <c r="B24" s="5">
        <f>142683-71342</f>
        <v>71341</v>
      </c>
      <c r="C24" s="5">
        <v>0</v>
      </c>
      <c r="D24" s="5"/>
      <c r="E24" s="5">
        <f>111085+85800+64350+71988+65293+126441+85800+71342</f>
        <v>682099</v>
      </c>
      <c r="F24" s="5"/>
      <c r="G24" s="20">
        <f t="shared" si="3"/>
        <v>753440</v>
      </c>
      <c r="H24" s="21">
        <f>G24/G33</f>
        <v>0.25470411909810997</v>
      </c>
      <c r="L24" s="59"/>
      <c r="M24" s="36"/>
      <c r="N24" s="60"/>
      <c r="O24" s="36"/>
      <c r="P24" s="59"/>
      <c r="Q24" s="36"/>
      <c r="R24" s="59"/>
      <c r="S24" s="36"/>
      <c r="T24" s="59"/>
      <c r="U24" s="36"/>
    </row>
    <row r="25" spans="1:21" ht="12">
      <c r="A25" s="12" t="s">
        <v>6</v>
      </c>
      <c r="B25" s="5">
        <v>90090</v>
      </c>
      <c r="C25" s="5">
        <v>0</v>
      </c>
      <c r="D25" s="5"/>
      <c r="E25" s="5">
        <v>55868</v>
      </c>
      <c r="F25" s="5"/>
      <c r="G25" s="20">
        <f t="shared" si="3"/>
        <v>145958</v>
      </c>
      <c r="H25" s="21">
        <f>G25/G33</f>
        <v>0.04934182392137653</v>
      </c>
      <c r="L25" s="59"/>
      <c r="M25" s="36"/>
      <c r="N25" s="60"/>
      <c r="O25" s="36"/>
      <c r="P25" s="59"/>
      <c r="Q25" s="36"/>
      <c r="R25" s="59"/>
      <c r="S25" s="36"/>
      <c r="T25" s="59"/>
      <c r="U25" s="36"/>
    </row>
    <row r="26" spans="1:21" ht="12">
      <c r="A26" s="12" t="s">
        <v>7</v>
      </c>
      <c r="B26" s="5"/>
      <c r="C26" s="5"/>
      <c r="D26" s="5"/>
      <c r="E26" s="5"/>
      <c r="F26" s="5">
        <f>85800+72865</f>
        <v>158665</v>
      </c>
      <c r="G26" s="20">
        <f t="shared" si="3"/>
        <v>158665</v>
      </c>
      <c r="H26" s="21">
        <f>G26/G33</f>
        <v>0.05363748813004568</v>
      </c>
      <c r="L26" s="59"/>
      <c r="M26" s="36"/>
      <c r="N26" s="60"/>
      <c r="O26" s="36"/>
      <c r="P26" s="59"/>
      <c r="Q26" s="36"/>
      <c r="R26" s="59"/>
      <c r="S26" s="36"/>
      <c r="T26" s="59"/>
      <c r="U26" s="36"/>
    </row>
    <row r="27" spans="1:21" ht="12">
      <c r="A27" s="12" t="s">
        <v>8</v>
      </c>
      <c r="B27" s="5">
        <f>169482-76614</f>
        <v>92868</v>
      </c>
      <c r="C27" s="5">
        <v>37798</v>
      </c>
      <c r="D27" s="5">
        <f>153363</f>
        <v>153363</v>
      </c>
      <c r="E27" s="5">
        <f>161395+76614</f>
        <v>238009</v>
      </c>
      <c r="F27" s="5">
        <v>77838</v>
      </c>
      <c r="G27" s="20">
        <f t="shared" si="3"/>
        <v>599876</v>
      </c>
      <c r="H27" s="21">
        <f>G27/G33</f>
        <v>0.20279104925156324</v>
      </c>
      <c r="K27" t="s">
        <v>68</v>
      </c>
      <c r="L27" s="62">
        <f aca="true" t="shared" si="4" ref="L27:Q27">L21</f>
        <v>-3.08</v>
      </c>
      <c r="M27" s="63">
        <f t="shared" si="4"/>
        <v>-400000</v>
      </c>
      <c r="N27" s="64">
        <f t="shared" si="4"/>
        <v>0.08</v>
      </c>
      <c r="O27" s="63">
        <f t="shared" si="4"/>
        <v>23561</v>
      </c>
      <c r="P27" s="64">
        <f t="shared" si="4"/>
        <v>0</v>
      </c>
      <c r="Q27" s="63">
        <f t="shared" si="4"/>
        <v>0</v>
      </c>
      <c r="R27" s="62">
        <f>R23</f>
        <v>1.46</v>
      </c>
      <c r="S27" s="63">
        <f>S23</f>
        <v>200973</v>
      </c>
      <c r="T27" s="63">
        <f>T21</f>
        <v>0</v>
      </c>
      <c r="U27" s="63">
        <f>U21</f>
        <v>0</v>
      </c>
    </row>
    <row r="28" spans="1:12" ht="12">
      <c r="A28" s="12" t="s">
        <v>9</v>
      </c>
      <c r="B28" s="5">
        <f>178480+92333</f>
        <v>270813</v>
      </c>
      <c r="C28" s="5"/>
      <c r="D28" s="5"/>
      <c r="E28" s="5"/>
      <c r="F28" s="5"/>
      <c r="G28" s="20">
        <f t="shared" si="3"/>
        <v>270813</v>
      </c>
      <c r="H28" s="21">
        <f>G28/G33</f>
        <v>0.09154967430096153</v>
      </c>
      <c r="J28" s="34"/>
      <c r="L28" s="34"/>
    </row>
    <row r="29" spans="1:8" ht="12">
      <c r="A29" s="12" t="s">
        <v>10</v>
      </c>
      <c r="B29" s="5">
        <f>131820*0.7-10983</f>
        <v>81291</v>
      </c>
      <c r="C29" s="5">
        <f>80925+131820*0.3+10983</f>
        <v>131454</v>
      </c>
      <c r="D29" s="5"/>
      <c r="E29" s="5">
        <v>37768</v>
      </c>
      <c r="F29" s="5"/>
      <c r="G29" s="20">
        <f t="shared" si="3"/>
        <v>250513</v>
      </c>
      <c r="H29" s="21">
        <f>G29/G33</f>
        <v>0.08468715888143027</v>
      </c>
    </row>
    <row r="30" spans="1:10" ht="12">
      <c r="A30" s="12" t="s">
        <v>14</v>
      </c>
      <c r="B30" s="5"/>
      <c r="C30" s="5">
        <v>76863</v>
      </c>
      <c r="D30" s="5"/>
      <c r="E30" s="5"/>
      <c r="F30" s="5"/>
      <c r="G30" s="20">
        <f t="shared" si="3"/>
        <v>76863</v>
      </c>
      <c r="H30" s="21">
        <f>G30/G33</f>
        <v>0.025983917373962127</v>
      </c>
      <c r="J30" s="34"/>
    </row>
    <row r="31" spans="1:8" ht="12">
      <c r="A31" s="12" t="s">
        <v>11</v>
      </c>
      <c r="B31" s="5">
        <v>81705</v>
      </c>
      <c r="C31" s="5"/>
      <c r="D31" s="5"/>
      <c r="E31" s="5"/>
      <c r="F31" s="5"/>
      <c r="G31" s="20">
        <f t="shared" si="3"/>
        <v>81705</v>
      </c>
      <c r="H31" s="21">
        <f>G31/G33</f>
        <v>0.027620779426246383</v>
      </c>
    </row>
    <row r="32" spans="1:16" ht="12">
      <c r="A32" s="12" t="s">
        <v>12</v>
      </c>
      <c r="B32" s="3"/>
      <c r="C32" s="5">
        <v>98378</v>
      </c>
      <c r="D32" s="5"/>
      <c r="E32" s="5"/>
      <c r="F32" s="5"/>
      <c r="G32" s="20">
        <f>SUM(C32:F32)</f>
        <v>98378</v>
      </c>
      <c r="H32" s="21">
        <f>G32/G33-0.0001</f>
        <v>0.03315716955382494</v>
      </c>
      <c r="O32">
        <f>92274/0.7</f>
        <v>131820</v>
      </c>
      <c r="P32">
        <f>O32*0.7</f>
        <v>92274</v>
      </c>
    </row>
    <row r="33" spans="1:16" ht="12.75" thickBot="1">
      <c r="A33" s="12" t="s">
        <v>13</v>
      </c>
      <c r="B33" s="2">
        <f aca="true" t="shared" si="5" ref="B33:G33">SUM(B22:B32)</f>
        <v>688108</v>
      </c>
      <c r="C33" s="2">
        <f t="shared" si="5"/>
        <v>523635</v>
      </c>
      <c r="D33" s="2">
        <f t="shared" si="5"/>
        <v>496109</v>
      </c>
      <c r="E33" s="2">
        <f t="shared" si="5"/>
        <v>1013744</v>
      </c>
      <c r="F33" s="2">
        <f t="shared" si="5"/>
        <v>236503</v>
      </c>
      <c r="G33" s="22">
        <f t="shared" si="5"/>
        <v>2958099</v>
      </c>
      <c r="H33" s="23">
        <v>1</v>
      </c>
      <c r="O33">
        <v>10983</v>
      </c>
      <c r="P33">
        <f>O33/P32</f>
        <v>0.11902594446973146</v>
      </c>
    </row>
    <row r="34" spans="1:15" ht="12">
      <c r="A34" s="12"/>
      <c r="B34" s="5"/>
      <c r="C34" s="5"/>
      <c r="D34" s="5"/>
      <c r="E34" s="5"/>
      <c r="F34" s="5"/>
      <c r="G34" s="5"/>
      <c r="H34" s="21"/>
      <c r="O34">
        <f>O33/O32</f>
        <v>0.08331816112881202</v>
      </c>
    </row>
    <row r="35" spans="1:8" ht="12">
      <c r="A35" s="12"/>
      <c r="B35" s="5"/>
      <c r="C35" s="5"/>
      <c r="D35" s="5"/>
      <c r="E35" s="5"/>
      <c r="F35" s="5"/>
      <c r="G35" s="5"/>
      <c r="H35" s="14"/>
    </row>
    <row r="36" spans="1:8" ht="12">
      <c r="A36" s="12" t="s">
        <v>24</v>
      </c>
      <c r="B36" s="2">
        <f>B18</f>
        <v>1088108</v>
      </c>
      <c r="C36" s="2">
        <f>C18</f>
        <v>500074</v>
      </c>
      <c r="D36" s="2">
        <f>D18</f>
        <v>496109</v>
      </c>
      <c r="E36" s="2">
        <f>E18</f>
        <v>812771</v>
      </c>
      <c r="F36" s="2">
        <f>F18</f>
        <v>236503</v>
      </c>
      <c r="G36" s="2">
        <f>SUM(B36:F36)</f>
        <v>3133565</v>
      </c>
      <c r="H36" s="13"/>
    </row>
    <row r="37" spans="1:8" ht="12">
      <c r="A37" s="12"/>
      <c r="B37" s="5"/>
      <c r="C37" s="5"/>
      <c r="D37" s="5"/>
      <c r="E37" s="5"/>
      <c r="F37" s="5"/>
      <c r="G37" s="5"/>
      <c r="H37" s="14"/>
    </row>
    <row r="38" spans="1:8" ht="12">
      <c r="A38" s="12" t="s">
        <v>25</v>
      </c>
      <c r="B38" s="2">
        <f>B33-B36</f>
        <v>-400000</v>
      </c>
      <c r="C38" s="2">
        <f>C33-C36</f>
        <v>23561</v>
      </c>
      <c r="D38" s="2">
        <f>D33-D36</f>
        <v>0</v>
      </c>
      <c r="E38" s="2">
        <f>E33-E36</f>
        <v>200973</v>
      </c>
      <c r="F38" s="2">
        <f>F33-F36</f>
        <v>0</v>
      </c>
      <c r="G38" s="2">
        <f>SUM(B38:F38)</f>
        <v>-175466</v>
      </c>
      <c r="H38" s="13"/>
    </row>
    <row r="39" spans="1:8" ht="12">
      <c r="A39" s="12"/>
      <c r="B39" s="5"/>
      <c r="C39" s="5"/>
      <c r="D39" s="5"/>
      <c r="E39" s="5"/>
      <c r="F39" s="5"/>
      <c r="G39" s="5"/>
      <c r="H39" s="14"/>
    </row>
    <row r="40" spans="1:8" ht="12">
      <c r="A40" s="12" t="s">
        <v>27</v>
      </c>
      <c r="B40" s="17">
        <f aca="true" t="shared" si="6" ref="B40:G40">B38/B36</f>
        <v>-0.3676105680686108</v>
      </c>
      <c r="C40" s="17">
        <f t="shared" si="6"/>
        <v>0.04711502697600755</v>
      </c>
      <c r="D40" s="17">
        <f t="shared" si="6"/>
        <v>0</v>
      </c>
      <c r="E40" s="17">
        <f t="shared" si="6"/>
        <v>0.24726891092324899</v>
      </c>
      <c r="F40" s="17">
        <f t="shared" si="6"/>
        <v>0</v>
      </c>
      <c r="G40" s="17">
        <f t="shared" si="6"/>
        <v>-0.05599564713034515</v>
      </c>
      <c r="H40" s="13"/>
    </row>
    <row r="41" spans="1:8" ht="12.75" thickBot="1">
      <c r="A41" s="15"/>
      <c r="B41" s="26"/>
      <c r="C41" s="26"/>
      <c r="D41" s="26"/>
      <c r="E41" s="26"/>
      <c r="F41" s="26"/>
      <c r="G41" s="26"/>
      <c r="H41" s="27"/>
    </row>
    <row r="43" ht="12.75" thickBot="1"/>
    <row r="44" spans="5:8" ht="12.75" thickBot="1">
      <c r="E44" s="39" t="s">
        <v>37</v>
      </c>
      <c r="F44" s="44"/>
      <c r="G44" s="45"/>
      <c r="H44" s="40"/>
    </row>
    <row r="45" spans="1:8" ht="12">
      <c r="A45" s="6" t="s">
        <v>20</v>
      </c>
      <c r="B45" s="7"/>
      <c r="C45" s="7"/>
      <c r="D45" s="7"/>
      <c r="E45" s="7"/>
      <c r="F45" s="7"/>
      <c r="G45" s="7"/>
      <c r="H45" s="8"/>
    </row>
    <row r="46" spans="1:8" ht="12">
      <c r="A46" s="9" t="s">
        <v>21</v>
      </c>
      <c r="B46" s="3"/>
      <c r="C46" s="3"/>
      <c r="D46" s="3"/>
      <c r="E46" s="3"/>
      <c r="F46" s="3"/>
      <c r="G46" s="3"/>
      <c r="H46" s="10"/>
    </row>
    <row r="47" spans="1:8" ht="12.75" thickBot="1">
      <c r="A47" s="9" t="s">
        <v>34</v>
      </c>
      <c r="B47" s="3"/>
      <c r="C47" s="3"/>
      <c r="D47" s="3"/>
      <c r="E47" s="3"/>
      <c r="F47" s="3"/>
      <c r="G47" s="3"/>
      <c r="H47" s="10"/>
    </row>
    <row r="48" spans="1:8" ht="12">
      <c r="A48" s="28" t="s">
        <v>22</v>
      </c>
      <c r="B48" s="29" t="s">
        <v>15</v>
      </c>
      <c r="C48" s="29" t="s">
        <v>16</v>
      </c>
      <c r="D48" s="29" t="s">
        <v>17</v>
      </c>
      <c r="E48" s="29" t="s">
        <v>18</v>
      </c>
      <c r="F48" s="29" t="s">
        <v>19</v>
      </c>
      <c r="G48" s="18" t="s">
        <v>23</v>
      </c>
      <c r="H48" s="19" t="s">
        <v>26</v>
      </c>
    </row>
    <row r="49" spans="1:8" ht="12">
      <c r="A49" s="12" t="s">
        <v>4</v>
      </c>
      <c r="B49" s="16"/>
      <c r="C49" s="16">
        <v>2.5</v>
      </c>
      <c r="D49" s="16"/>
      <c r="E49" s="16"/>
      <c r="F49" s="16"/>
      <c r="G49" s="24">
        <f>SUM(B49:F49)</f>
        <v>2.5</v>
      </c>
      <c r="H49" s="21">
        <f>G49/G60</f>
        <v>0.07028394714647175</v>
      </c>
    </row>
    <row r="50" spans="1:8" ht="12">
      <c r="A50" s="12" t="s">
        <v>5</v>
      </c>
      <c r="B50" s="16"/>
      <c r="C50" s="16"/>
      <c r="D50" s="16">
        <v>5</v>
      </c>
      <c r="E50" s="16"/>
      <c r="F50" s="16"/>
      <c r="G50" s="24">
        <f aca="true" t="shared" si="7" ref="G50:G59">SUM(B50:F50)</f>
        <v>5</v>
      </c>
      <c r="H50" s="21">
        <f>G50/G60</f>
        <v>0.1405678942929435</v>
      </c>
    </row>
    <row r="51" spans="1:8" ht="12">
      <c r="A51" s="12" t="s">
        <v>33</v>
      </c>
      <c r="B51" s="16">
        <v>1</v>
      </c>
      <c r="C51" s="16">
        <v>1</v>
      </c>
      <c r="D51" s="16"/>
      <c r="E51" s="16">
        <v>7.31</v>
      </c>
      <c r="F51" s="16"/>
      <c r="G51" s="24">
        <f t="shared" si="7"/>
        <v>9.309999999999999</v>
      </c>
      <c r="H51" s="21">
        <f>G51/G60</f>
        <v>0.2617374191734607</v>
      </c>
    </row>
    <row r="52" spans="1:8" ht="12">
      <c r="A52" s="12" t="s">
        <v>6</v>
      </c>
      <c r="B52" s="16">
        <v>1</v>
      </c>
      <c r="C52" s="16">
        <v>0</v>
      </c>
      <c r="D52" s="16"/>
      <c r="E52" s="16">
        <v>1</v>
      </c>
      <c r="F52" s="16"/>
      <c r="G52" s="24">
        <f t="shared" si="7"/>
        <v>2</v>
      </c>
      <c r="H52" s="21">
        <f>G52/G60</f>
        <v>0.056227157717177394</v>
      </c>
    </row>
    <row r="53" spans="1:8" ht="12">
      <c r="A53" s="12" t="s">
        <v>7</v>
      </c>
      <c r="B53" s="16"/>
      <c r="C53" s="16"/>
      <c r="D53" s="16"/>
      <c r="E53" s="16"/>
      <c r="F53" s="16">
        <v>2</v>
      </c>
      <c r="G53" s="24">
        <f t="shared" si="7"/>
        <v>2</v>
      </c>
      <c r="H53" s="21">
        <f>G53/G60</f>
        <v>0.056227157717177394</v>
      </c>
    </row>
    <row r="54" spans="1:8" ht="12">
      <c r="A54" s="12" t="s">
        <v>8</v>
      </c>
      <c r="B54" s="16">
        <v>1.18</v>
      </c>
      <c r="C54" s="16">
        <v>0.5</v>
      </c>
      <c r="D54" s="16">
        <v>1.32</v>
      </c>
      <c r="E54" s="16">
        <v>2</v>
      </c>
      <c r="F54" s="16">
        <v>1</v>
      </c>
      <c r="G54" s="24">
        <f t="shared" si="7"/>
        <v>6</v>
      </c>
      <c r="H54" s="21">
        <f>G54/G60</f>
        <v>0.1686814731515322</v>
      </c>
    </row>
    <row r="55" spans="1:8" ht="12">
      <c r="A55" s="12" t="s">
        <v>9</v>
      </c>
      <c r="B55" s="16">
        <v>3</v>
      </c>
      <c r="C55" s="16"/>
      <c r="D55" s="16"/>
      <c r="E55" s="16"/>
      <c r="F55" s="16"/>
      <c r="G55" s="24">
        <f t="shared" si="7"/>
        <v>3</v>
      </c>
      <c r="H55" s="21">
        <f>G55/G60</f>
        <v>0.0843407365757661</v>
      </c>
    </row>
    <row r="56" spans="1:8" ht="12">
      <c r="A56" s="12" t="s">
        <v>10</v>
      </c>
      <c r="B56" s="16">
        <v>0.7</v>
      </c>
      <c r="C56" s="16">
        <v>1.3</v>
      </c>
      <c r="D56" s="16"/>
      <c r="E56" s="16">
        <v>0.76</v>
      </c>
      <c r="F56" s="16"/>
      <c r="G56" s="24">
        <f t="shared" si="7"/>
        <v>2.76</v>
      </c>
      <c r="H56" s="21">
        <f>G56/G60</f>
        <v>0.0775934776497048</v>
      </c>
    </row>
    <row r="57" spans="1:8" ht="12">
      <c r="A57" s="12" t="s">
        <v>14</v>
      </c>
      <c r="B57" s="16"/>
      <c r="C57" s="16">
        <v>1</v>
      </c>
      <c r="D57" s="16"/>
      <c r="E57" s="16"/>
      <c r="F57" s="16"/>
      <c r="G57" s="24">
        <f t="shared" si="7"/>
        <v>1</v>
      </c>
      <c r="H57" s="21">
        <f>G57/G60</f>
        <v>0.028113578858588697</v>
      </c>
    </row>
    <row r="58" spans="1:8" ht="12">
      <c r="A58" s="12" t="s">
        <v>11</v>
      </c>
      <c r="B58" s="16">
        <v>1</v>
      </c>
      <c r="C58" s="16"/>
      <c r="D58" s="16"/>
      <c r="E58" s="16"/>
      <c r="F58" s="16"/>
      <c r="G58" s="24">
        <f t="shared" si="7"/>
        <v>1</v>
      </c>
      <c r="H58" s="21">
        <f>G58/G60</f>
        <v>0.028113578858588697</v>
      </c>
    </row>
    <row r="59" spans="1:8" ht="12">
      <c r="A59" s="12" t="s">
        <v>12</v>
      </c>
      <c r="B59" s="16">
        <v>1</v>
      </c>
      <c r="C59" s="16"/>
      <c r="D59" s="16"/>
      <c r="E59" s="16"/>
      <c r="F59" s="16"/>
      <c r="G59" s="24">
        <f t="shared" si="7"/>
        <v>1</v>
      </c>
      <c r="H59" s="21">
        <f>G59/G60-0.0001</f>
        <v>0.028013578858588697</v>
      </c>
    </row>
    <row r="60" spans="1:8" ht="12.75" thickBot="1">
      <c r="A60" s="15" t="s">
        <v>13</v>
      </c>
      <c r="B60" s="42">
        <f aca="true" t="shared" si="8" ref="B60:G60">SUM(B49:B59)</f>
        <v>8.879999999999999</v>
      </c>
      <c r="C60" s="42">
        <f>SUM(C49:C59)</f>
        <v>6.3</v>
      </c>
      <c r="D60" s="42">
        <f t="shared" si="8"/>
        <v>6.32</v>
      </c>
      <c r="E60" s="42">
        <f t="shared" si="8"/>
        <v>11.069999999999999</v>
      </c>
      <c r="F60" s="42">
        <f t="shared" si="8"/>
        <v>3</v>
      </c>
      <c r="G60" s="25">
        <f t="shared" si="8"/>
        <v>35.57</v>
      </c>
      <c r="H60" s="23">
        <v>1</v>
      </c>
    </row>
    <row r="61" spans="1:8" ht="12">
      <c r="A61" s="12"/>
      <c r="B61" s="3"/>
      <c r="C61" s="3"/>
      <c r="D61" s="3"/>
      <c r="E61" s="3"/>
      <c r="F61" s="3"/>
      <c r="G61" s="3"/>
      <c r="H61" s="10"/>
    </row>
    <row r="62" spans="1:8" ht="12">
      <c r="A62" s="12"/>
      <c r="B62" s="3"/>
      <c r="C62" s="3"/>
      <c r="D62" s="3"/>
      <c r="E62" s="3"/>
      <c r="F62" s="3"/>
      <c r="G62" s="3"/>
      <c r="H62" s="10"/>
    </row>
    <row r="63" spans="1:8" ht="12.75" thickBot="1">
      <c r="A63" s="9" t="s">
        <v>35</v>
      </c>
      <c r="B63" s="3"/>
      <c r="C63" s="3"/>
      <c r="D63" s="3"/>
      <c r="E63" s="3"/>
      <c r="F63" s="3"/>
      <c r="G63" s="3"/>
      <c r="H63" s="10"/>
    </row>
    <row r="64" spans="1:8" ht="12">
      <c r="A64" s="28" t="s">
        <v>22</v>
      </c>
      <c r="B64" s="29" t="s">
        <v>15</v>
      </c>
      <c r="C64" s="29" t="s">
        <v>16</v>
      </c>
      <c r="D64" s="29" t="s">
        <v>17</v>
      </c>
      <c r="E64" s="29" t="s">
        <v>18</v>
      </c>
      <c r="F64" s="29" t="s">
        <v>19</v>
      </c>
      <c r="G64" s="18" t="s">
        <v>23</v>
      </c>
      <c r="H64" s="19" t="s">
        <v>26</v>
      </c>
    </row>
    <row r="65" spans="1:8" ht="12">
      <c r="A65" s="12" t="s">
        <v>4</v>
      </c>
      <c r="B65" s="16"/>
      <c r="C65" s="16">
        <v>2.5</v>
      </c>
      <c r="D65" s="16"/>
      <c r="E65" s="16"/>
      <c r="F65" s="16"/>
      <c r="G65" s="24">
        <f>SUM(B65:F65)</f>
        <v>2.5</v>
      </c>
      <c r="H65" s="21">
        <f>G65/G76</f>
        <v>0.07346459006758742</v>
      </c>
    </row>
    <row r="66" spans="1:8" ht="12">
      <c r="A66" s="12" t="s">
        <v>5</v>
      </c>
      <c r="B66" s="16"/>
      <c r="C66" s="16"/>
      <c r="D66" s="16">
        <v>5</v>
      </c>
      <c r="E66" s="16"/>
      <c r="F66" s="16"/>
      <c r="G66" s="24">
        <f aca="true" t="shared" si="9" ref="G66:G75">SUM(B66:F66)</f>
        <v>5</v>
      </c>
      <c r="H66" s="21">
        <f>G66/G76</f>
        <v>0.14692918013517484</v>
      </c>
    </row>
    <row r="67" spans="1:8" ht="12">
      <c r="A67" s="12" t="s">
        <v>33</v>
      </c>
      <c r="B67" s="16">
        <v>0.5</v>
      </c>
      <c r="C67" s="16">
        <v>0</v>
      </c>
      <c r="D67" s="16"/>
      <c r="E67" s="16">
        <f>7.31+1+0.5-0.54</f>
        <v>8.27</v>
      </c>
      <c r="F67" s="16"/>
      <c r="G67" s="24">
        <f t="shared" si="9"/>
        <v>8.77</v>
      </c>
      <c r="H67" s="21">
        <f>G67/G76</f>
        <v>0.25771378195709665</v>
      </c>
    </row>
    <row r="68" spans="1:8" ht="12">
      <c r="A68" s="12" t="s">
        <v>6</v>
      </c>
      <c r="B68" s="16">
        <v>1</v>
      </c>
      <c r="C68" s="16">
        <v>0</v>
      </c>
      <c r="D68" s="16"/>
      <c r="E68" s="16">
        <v>1</v>
      </c>
      <c r="F68" s="16"/>
      <c r="G68" s="24">
        <f t="shared" si="9"/>
        <v>2</v>
      </c>
      <c r="H68" s="21">
        <f>G68/G76</f>
        <v>0.05877167205406993</v>
      </c>
    </row>
    <row r="69" spans="1:12" ht="12">
      <c r="A69" s="12" t="s">
        <v>7</v>
      </c>
      <c r="B69" s="16"/>
      <c r="C69" s="16"/>
      <c r="D69" s="16"/>
      <c r="E69" s="16"/>
      <c r="F69" s="16">
        <v>2</v>
      </c>
      <c r="G69" s="24">
        <f t="shared" si="9"/>
        <v>2</v>
      </c>
      <c r="H69" s="21">
        <f>G69/G76</f>
        <v>0.05877167205406993</v>
      </c>
      <c r="J69" s="34"/>
      <c r="L69" s="34"/>
    </row>
    <row r="70" spans="1:12" ht="12">
      <c r="A70" s="12" t="s">
        <v>8</v>
      </c>
      <c r="B70" s="16">
        <f>1.18-0.5</f>
        <v>0.6799999999999999</v>
      </c>
      <c r="C70" s="16">
        <v>0.5</v>
      </c>
      <c r="D70" s="16">
        <v>1.32</v>
      </c>
      <c r="E70" s="16">
        <f>2+0.5</f>
        <v>2.5</v>
      </c>
      <c r="F70" s="16">
        <v>1</v>
      </c>
      <c r="G70" s="24">
        <f t="shared" si="9"/>
        <v>6</v>
      </c>
      <c r="H70" s="21">
        <f>G70/G76</f>
        <v>0.17631501616220982</v>
      </c>
      <c r="J70" s="34"/>
      <c r="L70" s="34"/>
    </row>
    <row r="71" spans="1:8" ht="12">
      <c r="A71" s="12" t="s">
        <v>9</v>
      </c>
      <c r="B71" s="16">
        <v>2</v>
      </c>
      <c r="C71" s="16"/>
      <c r="D71" s="16"/>
      <c r="E71" s="16"/>
      <c r="F71" s="16"/>
      <c r="G71" s="24">
        <f t="shared" si="9"/>
        <v>2</v>
      </c>
      <c r="H71" s="21">
        <f>G71/G76</f>
        <v>0.05877167205406993</v>
      </c>
    </row>
    <row r="72" spans="1:8" ht="12">
      <c r="A72" s="12" t="s">
        <v>10</v>
      </c>
      <c r="B72" s="16">
        <f>0.7-0.08</f>
        <v>0.62</v>
      </c>
      <c r="C72" s="16">
        <f>1.3+0.08</f>
        <v>1.3800000000000001</v>
      </c>
      <c r="D72" s="16"/>
      <c r="E72" s="16">
        <v>0.76</v>
      </c>
      <c r="F72" s="16"/>
      <c r="G72" s="24">
        <f t="shared" si="9"/>
        <v>2.76</v>
      </c>
      <c r="H72" s="21">
        <f>G72/G76</f>
        <v>0.0811049074346165</v>
      </c>
    </row>
    <row r="73" spans="1:8" ht="12">
      <c r="A73" s="12" t="s">
        <v>14</v>
      </c>
      <c r="B73" s="16"/>
      <c r="C73" s="16">
        <v>1</v>
      </c>
      <c r="D73" s="16"/>
      <c r="E73" s="16"/>
      <c r="F73" s="16"/>
      <c r="G73" s="24">
        <f t="shared" si="9"/>
        <v>1</v>
      </c>
      <c r="H73" s="21">
        <f>G73/G76</f>
        <v>0.029385836027034967</v>
      </c>
    </row>
    <row r="74" spans="1:8" ht="12">
      <c r="A74" s="12" t="s">
        <v>11</v>
      </c>
      <c r="B74" s="16">
        <v>1</v>
      </c>
      <c r="C74" s="16"/>
      <c r="D74" s="16"/>
      <c r="E74" s="16"/>
      <c r="F74" s="16"/>
      <c r="G74" s="24">
        <f t="shared" si="9"/>
        <v>1</v>
      </c>
      <c r="H74" s="21">
        <f>G74/G76</f>
        <v>0.029385836027034967</v>
      </c>
    </row>
    <row r="75" spans="1:8" ht="12">
      <c r="A75" s="12" t="s">
        <v>12</v>
      </c>
      <c r="B75" s="16">
        <v>0</v>
      </c>
      <c r="C75" s="16">
        <v>1</v>
      </c>
      <c r="D75" s="16"/>
      <c r="E75" s="16"/>
      <c r="F75" s="16"/>
      <c r="G75" s="24">
        <f t="shared" si="9"/>
        <v>1</v>
      </c>
      <c r="H75" s="21">
        <f>G75/G76</f>
        <v>0.029385836027034967</v>
      </c>
    </row>
    <row r="76" spans="1:8" ht="12.75" thickBot="1">
      <c r="A76" s="30" t="s">
        <v>13</v>
      </c>
      <c r="B76" s="4">
        <f aca="true" t="shared" si="10" ref="B76:G76">SUM(B65:B75)</f>
        <v>5.8</v>
      </c>
      <c r="C76" s="4">
        <f t="shared" si="10"/>
        <v>6.38</v>
      </c>
      <c r="D76" s="4">
        <f t="shared" si="10"/>
        <v>6.32</v>
      </c>
      <c r="E76" s="4">
        <f t="shared" si="10"/>
        <v>12.53</v>
      </c>
      <c r="F76" s="4">
        <f t="shared" si="10"/>
        <v>3</v>
      </c>
      <c r="G76" s="25">
        <f t="shared" si="10"/>
        <v>34.03</v>
      </c>
      <c r="H76" s="23">
        <f>SUM(H65:H75)</f>
        <v>0.9999999999999999</v>
      </c>
    </row>
    <row r="77" spans="1:8" ht="12">
      <c r="A77" s="12"/>
      <c r="B77" s="3"/>
      <c r="C77" s="3"/>
      <c r="D77" s="3"/>
      <c r="E77" s="3"/>
      <c r="F77" s="3"/>
      <c r="G77" s="3"/>
      <c r="H77" s="10"/>
    </row>
    <row r="78" spans="1:8" ht="12">
      <c r="A78" s="12" t="s">
        <v>28</v>
      </c>
      <c r="B78" s="4">
        <f>B60</f>
        <v>8.879999999999999</v>
      </c>
      <c r="C78" s="4">
        <f>C60</f>
        <v>6.3</v>
      </c>
      <c r="D78" s="4">
        <f>D60</f>
        <v>6.32</v>
      </c>
      <c r="E78" s="4">
        <f>E60</f>
        <v>11.069999999999999</v>
      </c>
      <c r="F78" s="4">
        <f>F60</f>
        <v>3</v>
      </c>
      <c r="G78" s="4">
        <f>SUM(B78:F78)</f>
        <v>35.57</v>
      </c>
      <c r="H78" s="13"/>
    </row>
    <row r="79" spans="1:8" ht="12">
      <c r="A79" s="12"/>
      <c r="B79" s="5"/>
      <c r="C79" s="5"/>
      <c r="D79" s="5"/>
      <c r="E79" s="5"/>
      <c r="F79" s="5"/>
      <c r="G79" s="5"/>
      <c r="H79" s="14"/>
    </row>
    <row r="80" spans="1:14" ht="12">
      <c r="A80" s="12" t="s">
        <v>29</v>
      </c>
      <c r="B80" s="4">
        <f>B76-B78</f>
        <v>-3.079999999999999</v>
      </c>
      <c r="C80" s="4">
        <f>C76-C78</f>
        <v>0.08000000000000007</v>
      </c>
      <c r="D80" s="4">
        <f>D76-D78</f>
        <v>0</v>
      </c>
      <c r="E80" s="4">
        <f>E76-E78</f>
        <v>1.4600000000000009</v>
      </c>
      <c r="F80" s="4">
        <f>F76-F78</f>
        <v>0</v>
      </c>
      <c r="G80" s="4">
        <f>SUM(B80:F80)</f>
        <v>-1.5399999999999983</v>
      </c>
      <c r="H80" s="13"/>
      <c r="J80" s="33"/>
      <c r="K80" s="33"/>
      <c r="L80" s="33"/>
      <c r="M80" s="33"/>
      <c r="N80" s="33"/>
    </row>
    <row r="81" spans="1:8" ht="12">
      <c r="A81" s="12"/>
      <c r="B81" s="5"/>
      <c r="C81" s="5"/>
      <c r="D81" s="5"/>
      <c r="E81" s="5"/>
      <c r="F81" s="5"/>
      <c r="G81" s="5"/>
      <c r="H81" s="14"/>
    </row>
    <row r="82" spans="1:8" ht="12">
      <c r="A82" s="12"/>
      <c r="B82" s="5"/>
      <c r="C82" s="5"/>
      <c r="D82" s="5"/>
      <c r="E82" s="5"/>
      <c r="F82" s="5"/>
      <c r="G82" s="5"/>
      <c r="H82" s="14"/>
    </row>
    <row r="83" spans="1:8" ht="12">
      <c r="A83" s="12" t="s">
        <v>30</v>
      </c>
      <c r="B83" s="17">
        <f aca="true" t="shared" si="11" ref="B83:G83">B80/B78</f>
        <v>-0.3468468468468468</v>
      </c>
      <c r="C83" s="17">
        <f t="shared" si="11"/>
        <v>0.01269841269841271</v>
      </c>
      <c r="D83" s="17">
        <f t="shared" si="11"/>
        <v>0</v>
      </c>
      <c r="E83" s="17">
        <f t="shared" si="11"/>
        <v>0.13188798554652223</v>
      </c>
      <c r="F83" s="17">
        <f t="shared" si="11"/>
        <v>0</v>
      </c>
      <c r="G83" s="17">
        <f t="shared" si="11"/>
        <v>-0.043294911442226545</v>
      </c>
      <c r="H83" s="13"/>
    </row>
    <row r="84" spans="1:8" ht="12.75" thickBot="1">
      <c r="A84" s="15"/>
      <c r="B84" s="26"/>
      <c r="C84" s="26"/>
      <c r="D84" s="26"/>
      <c r="E84" s="26"/>
      <c r="F84" s="26"/>
      <c r="G84" s="26"/>
      <c r="H84" s="27"/>
    </row>
  </sheetData>
  <mergeCells count="5">
    <mergeCell ref="T13:U13"/>
    <mergeCell ref="L13:M13"/>
    <mergeCell ref="N13:O13"/>
    <mergeCell ref="P13:Q13"/>
    <mergeCell ref="R13:S13"/>
  </mergeCells>
  <printOptions gridLines="1"/>
  <pageMargins left="0.75" right="0" top="0.5" bottom="0.25" header="0.5" footer="0.5"/>
  <pageSetup horizontalDpi="600" verticalDpi="600" orientation="landscape" scale="105"/>
  <headerFooter alignWithMargins="0">
    <oddFooter>&amp;R&amp;D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86"/>
  <sheetViews>
    <sheetView workbookViewId="0" topLeftCell="A1">
      <selection activeCell="A45" sqref="A45:H86"/>
    </sheetView>
  </sheetViews>
  <sheetFormatPr defaultColWidth="8.8515625" defaultRowHeight="12.75"/>
  <cols>
    <col min="1" max="1" width="13.7109375" style="0" customWidth="1"/>
    <col min="2" max="2" width="12.140625" style="0" customWidth="1"/>
    <col min="5" max="5" width="12.7109375" style="0" customWidth="1"/>
    <col min="6" max="7" width="12.28125" style="0" customWidth="1"/>
    <col min="12" max="12" width="9.8515625" style="0" bestFit="1" customWidth="1"/>
    <col min="16" max="16" width="9.8515625" style="0" bestFit="1" customWidth="1"/>
  </cols>
  <sheetData>
    <row r="2" ht="12.75" thickBot="1">
      <c r="F2" s="33" t="s">
        <v>38</v>
      </c>
    </row>
    <row r="3" spans="1:8" ht="12">
      <c r="A3" s="6" t="s">
        <v>20</v>
      </c>
      <c r="B3" s="7"/>
      <c r="C3" s="7"/>
      <c r="D3" s="7"/>
      <c r="E3" s="7"/>
      <c r="F3" s="7"/>
      <c r="G3" s="7"/>
      <c r="H3" s="8"/>
    </row>
    <row r="4" spans="1:8" ht="12">
      <c r="A4" s="9" t="s">
        <v>21</v>
      </c>
      <c r="B4" s="3"/>
      <c r="C4" s="3"/>
      <c r="D4" s="3"/>
      <c r="E4" s="3"/>
      <c r="F4" s="3"/>
      <c r="G4" s="3"/>
      <c r="H4" s="10"/>
    </row>
    <row r="5" spans="1:8" ht="12.75" thickBot="1">
      <c r="A5" s="9" t="s">
        <v>32</v>
      </c>
      <c r="B5" s="3"/>
      <c r="C5" s="3"/>
      <c r="D5" s="3"/>
      <c r="E5" s="3"/>
      <c r="F5" s="3"/>
      <c r="G5" s="3"/>
      <c r="H5" s="10"/>
    </row>
    <row r="6" spans="1:12" ht="12.75" thickBot="1">
      <c r="A6" s="28" t="s">
        <v>22</v>
      </c>
      <c r="B6" s="29" t="s">
        <v>15</v>
      </c>
      <c r="C6" s="29" t="s">
        <v>16</v>
      </c>
      <c r="D6" s="29" t="s">
        <v>17</v>
      </c>
      <c r="E6" s="29" t="s">
        <v>18</v>
      </c>
      <c r="F6" s="29" t="s">
        <v>19</v>
      </c>
      <c r="G6" s="18" t="s">
        <v>23</v>
      </c>
      <c r="H6" s="19" t="s">
        <v>26</v>
      </c>
      <c r="L6" s="68" t="s">
        <v>69</v>
      </c>
    </row>
    <row r="7" spans="1:8" ht="12">
      <c r="A7" s="12" t="s">
        <v>4</v>
      </c>
      <c r="B7" s="5"/>
      <c r="C7" s="5">
        <f>93925+59930+25287</f>
        <v>179142</v>
      </c>
      <c r="D7" s="5"/>
      <c r="E7" s="5"/>
      <c r="F7" s="5"/>
      <c r="G7" s="20">
        <f>SUM(B7:F7)</f>
        <v>179142</v>
      </c>
      <c r="H7" s="21">
        <f>G7/G18</f>
        <v>0.05716875188483405</v>
      </c>
    </row>
    <row r="8" spans="1:8" ht="12">
      <c r="A8" s="12" t="s">
        <v>5</v>
      </c>
      <c r="B8" s="5"/>
      <c r="C8" s="5"/>
      <c r="D8" s="5">
        <f>98378+71988+68575+62205+41600</f>
        <v>342746</v>
      </c>
      <c r="E8" s="5"/>
      <c r="F8" s="5"/>
      <c r="G8" s="20">
        <f aca="true" t="shared" si="0" ref="G8:G17">SUM(B8:F8)</f>
        <v>342746</v>
      </c>
      <c r="H8" s="21">
        <f>G8/G18</f>
        <v>0.10937893421709778</v>
      </c>
    </row>
    <row r="9" spans="1:21" ht="12">
      <c r="A9" s="12" t="s">
        <v>33</v>
      </c>
      <c r="B9" s="5">
        <v>142683</v>
      </c>
      <c r="C9" s="5">
        <v>85800</v>
      </c>
      <c r="D9" s="5"/>
      <c r="E9" s="5">
        <v>557740</v>
      </c>
      <c r="F9" s="5"/>
      <c r="G9" s="20">
        <f t="shared" si="0"/>
        <v>786223</v>
      </c>
      <c r="H9" s="21">
        <f>G9/G18</f>
        <v>0.2509036831851262</v>
      </c>
      <c r="L9" s="74" t="s">
        <v>15</v>
      </c>
      <c r="M9" s="74"/>
      <c r="N9" s="74" t="s">
        <v>16</v>
      </c>
      <c r="O9" s="74"/>
      <c r="P9" s="74" t="s">
        <v>59</v>
      </c>
      <c r="Q9" s="74"/>
      <c r="R9" s="74" t="s">
        <v>60</v>
      </c>
      <c r="S9" s="74"/>
      <c r="T9" s="74" t="s">
        <v>61</v>
      </c>
      <c r="U9" s="74"/>
    </row>
    <row r="10" spans="1:21" ht="12">
      <c r="A10" s="12" t="s">
        <v>6</v>
      </c>
      <c r="B10" s="5">
        <v>90090</v>
      </c>
      <c r="C10" s="5">
        <v>0</v>
      </c>
      <c r="D10" s="5"/>
      <c r="E10" s="5">
        <v>55868</v>
      </c>
      <c r="F10" s="5"/>
      <c r="G10" s="20">
        <f t="shared" si="0"/>
        <v>145958</v>
      </c>
      <c r="H10" s="21">
        <f>G10/G18</f>
        <v>0.04657889656030751</v>
      </c>
      <c r="L10" s="58" t="s">
        <v>58</v>
      </c>
      <c r="M10" s="58" t="s">
        <v>57</v>
      </c>
      <c r="N10" s="58" t="s">
        <v>58</v>
      </c>
      <c r="O10" s="58" t="s">
        <v>57</v>
      </c>
      <c r="P10" s="58" t="s">
        <v>58</v>
      </c>
      <c r="Q10" s="58" t="s">
        <v>57</v>
      </c>
      <c r="R10" s="58" t="s">
        <v>58</v>
      </c>
      <c r="S10" s="58" t="s">
        <v>57</v>
      </c>
      <c r="T10" s="58" t="s">
        <v>58</v>
      </c>
      <c r="U10" s="58" t="s">
        <v>57</v>
      </c>
    </row>
    <row r="11" spans="1:21" ht="12">
      <c r="A11" s="12" t="s">
        <v>7</v>
      </c>
      <c r="B11" s="5"/>
      <c r="C11" s="5"/>
      <c r="D11" s="5"/>
      <c r="E11" s="5"/>
      <c r="F11" s="5">
        <f>85800+72865</f>
        <v>158665</v>
      </c>
      <c r="G11" s="20">
        <f t="shared" si="0"/>
        <v>158665</v>
      </c>
      <c r="H11" s="21">
        <f>G11/G18</f>
        <v>0.05063402227175757</v>
      </c>
      <c r="K11">
        <v>1</v>
      </c>
      <c r="L11" s="59">
        <v>-1</v>
      </c>
      <c r="M11" s="36">
        <v>-142683</v>
      </c>
      <c r="P11" s="36"/>
      <c r="Q11" s="36"/>
      <c r="R11" s="36"/>
      <c r="S11" s="36"/>
      <c r="T11" s="60"/>
      <c r="U11" s="36"/>
    </row>
    <row r="12" spans="1:21" ht="12">
      <c r="A12" s="12" t="s">
        <v>8</v>
      </c>
      <c r="B12" s="5">
        <v>169482</v>
      </c>
      <c r="C12" s="5">
        <v>37798</v>
      </c>
      <c r="D12" s="5">
        <v>153363</v>
      </c>
      <c r="E12" s="5">
        <v>161395</v>
      </c>
      <c r="F12" s="5">
        <v>77838</v>
      </c>
      <c r="G12" s="20">
        <f t="shared" si="0"/>
        <v>599876</v>
      </c>
      <c r="H12" s="21">
        <f>G12/G18</f>
        <v>0.19143563321648027</v>
      </c>
      <c r="K12">
        <v>2</v>
      </c>
      <c r="L12" s="59">
        <v>-0.5</v>
      </c>
      <c r="M12" s="36">
        <v>-71342</v>
      </c>
      <c r="N12" s="36"/>
      <c r="O12" s="36"/>
      <c r="P12" s="59"/>
      <c r="Q12" s="36"/>
      <c r="R12" s="59">
        <v>0.5</v>
      </c>
      <c r="S12" s="36">
        <v>71342</v>
      </c>
      <c r="T12" s="36"/>
      <c r="U12" s="36"/>
    </row>
    <row r="13" spans="1:21" ht="12">
      <c r="A13" s="12" t="s">
        <v>9</v>
      </c>
      <c r="B13" s="5">
        <v>413496</v>
      </c>
      <c r="C13" s="5"/>
      <c r="D13" s="5"/>
      <c r="E13" s="5"/>
      <c r="F13" s="5"/>
      <c r="G13" s="20">
        <f t="shared" si="0"/>
        <v>413496</v>
      </c>
      <c r="H13" s="21">
        <f>G13/G18</f>
        <v>0.1319570521115726</v>
      </c>
      <c r="K13">
        <v>3</v>
      </c>
      <c r="N13" s="60">
        <v>-1</v>
      </c>
      <c r="O13" s="36">
        <v>-85800</v>
      </c>
      <c r="P13" s="59"/>
      <c r="Q13" s="36"/>
      <c r="R13" s="59">
        <v>1</v>
      </c>
      <c r="S13" s="36">
        <v>85800</v>
      </c>
      <c r="T13" s="36"/>
      <c r="U13" s="36"/>
    </row>
    <row r="14" spans="1:15" ht="12">
      <c r="A14" s="12" t="s">
        <v>10</v>
      </c>
      <c r="B14" s="5">
        <f>131820*0.7</f>
        <v>92274</v>
      </c>
      <c r="C14" s="5">
        <f>80925+131820*0.3</f>
        <v>120471</v>
      </c>
      <c r="D14" s="5"/>
      <c r="E14" s="5">
        <v>37768</v>
      </c>
      <c r="F14" s="5"/>
      <c r="G14" s="20">
        <f t="shared" si="0"/>
        <v>250513</v>
      </c>
      <c r="H14" s="21">
        <f>G14/G18</f>
        <v>0.07994504661623422</v>
      </c>
      <c r="K14">
        <v>4</v>
      </c>
      <c r="L14" s="59">
        <v>-0.5</v>
      </c>
      <c r="M14" s="36">
        <v>-65910</v>
      </c>
      <c r="N14" s="59">
        <v>0.5</v>
      </c>
      <c r="O14" s="36">
        <v>65910</v>
      </c>
    </row>
    <row r="15" spans="1:21" ht="12">
      <c r="A15" s="12" t="s">
        <v>14</v>
      </c>
      <c r="B15" s="5"/>
      <c r="C15" s="5">
        <v>76863</v>
      </c>
      <c r="D15" s="5"/>
      <c r="E15" s="5"/>
      <c r="F15" s="5"/>
      <c r="G15" s="20">
        <f t="shared" si="0"/>
        <v>76863</v>
      </c>
      <c r="H15" s="21">
        <f>G15/G18</f>
        <v>0.0245289311056257</v>
      </c>
      <c r="K15">
        <v>5</v>
      </c>
      <c r="L15" s="59">
        <v>-0.5</v>
      </c>
      <c r="M15" s="36">
        <v>-49189</v>
      </c>
      <c r="P15" s="59"/>
      <c r="Q15" s="36"/>
      <c r="T15" s="59"/>
      <c r="U15" s="36"/>
    </row>
    <row r="16" spans="1:21" ht="12">
      <c r="A16" s="12" t="s">
        <v>11</v>
      </c>
      <c r="B16" s="5">
        <v>81705</v>
      </c>
      <c r="C16" s="5"/>
      <c r="D16" s="5"/>
      <c r="E16" s="5"/>
      <c r="F16" s="5"/>
      <c r="G16" s="20">
        <f t="shared" si="0"/>
        <v>81705</v>
      </c>
      <c r="H16" s="21">
        <f>G16/G18</f>
        <v>0.026074136008029193</v>
      </c>
      <c r="K16">
        <v>6</v>
      </c>
      <c r="L16" s="59">
        <v>-0.79</v>
      </c>
      <c r="M16" s="36">
        <v>-70876</v>
      </c>
      <c r="N16" s="59">
        <v>0.79</v>
      </c>
      <c r="O16" s="36">
        <v>70876</v>
      </c>
      <c r="T16" s="59"/>
      <c r="U16" s="36"/>
    </row>
    <row r="17" spans="1:21" ht="12">
      <c r="A17" s="12" t="s">
        <v>12</v>
      </c>
      <c r="B17" s="5">
        <v>98378</v>
      </c>
      <c r="C17" s="5"/>
      <c r="D17" s="5"/>
      <c r="E17" s="5"/>
      <c r="F17" s="5"/>
      <c r="G17" s="20">
        <f t="shared" si="0"/>
        <v>98378</v>
      </c>
      <c r="H17" s="21">
        <f>G17/G18</f>
        <v>0.0313949128229349</v>
      </c>
      <c r="L17" s="62">
        <f aca="true" t="shared" si="1" ref="L17:U17">SUM(L11:L16)</f>
        <v>-3.29</v>
      </c>
      <c r="M17" s="63">
        <f t="shared" si="1"/>
        <v>-400000</v>
      </c>
      <c r="N17" s="62">
        <f t="shared" si="1"/>
        <v>0.29000000000000004</v>
      </c>
      <c r="O17" s="63">
        <f t="shared" si="1"/>
        <v>50986</v>
      </c>
      <c r="P17" s="62">
        <f t="shared" si="1"/>
        <v>0</v>
      </c>
      <c r="Q17" s="63">
        <f t="shared" si="1"/>
        <v>0</v>
      </c>
      <c r="R17" s="62">
        <f t="shared" si="1"/>
        <v>1.5</v>
      </c>
      <c r="S17" s="63">
        <f t="shared" si="1"/>
        <v>157142</v>
      </c>
      <c r="T17" s="62">
        <f t="shared" si="1"/>
        <v>0</v>
      </c>
      <c r="U17" s="63">
        <f t="shared" si="1"/>
        <v>0</v>
      </c>
    </row>
    <row r="18" spans="1:21" ht="12.75" thickBot="1">
      <c r="A18" s="15" t="s">
        <v>13</v>
      </c>
      <c r="B18" s="41">
        <f aca="true" t="shared" si="2" ref="B18:G18">SUM(B7:B17)</f>
        <v>1088108</v>
      </c>
      <c r="C18" s="41">
        <f>SUM(C7:C17)</f>
        <v>500074</v>
      </c>
      <c r="D18" s="41">
        <f t="shared" si="2"/>
        <v>496109</v>
      </c>
      <c r="E18" s="41">
        <f t="shared" si="2"/>
        <v>812771</v>
      </c>
      <c r="F18" s="41">
        <f t="shared" si="2"/>
        <v>236503</v>
      </c>
      <c r="G18" s="22">
        <f t="shared" si="2"/>
        <v>3133565</v>
      </c>
      <c r="H18" s="23">
        <v>1</v>
      </c>
      <c r="K18" t="s">
        <v>62</v>
      </c>
      <c r="L18" s="59"/>
      <c r="M18" s="36"/>
      <c r="N18" s="64"/>
      <c r="O18" s="63"/>
      <c r="P18" s="62"/>
      <c r="Q18" s="63"/>
      <c r="R18" s="62">
        <v>-0.54</v>
      </c>
      <c r="S18" s="63">
        <v>-32783</v>
      </c>
      <c r="T18" s="62"/>
      <c r="U18" s="63"/>
    </row>
    <row r="19" spans="1:21" ht="12">
      <c r="A19" s="12"/>
      <c r="B19" s="5"/>
      <c r="C19" s="5"/>
      <c r="D19" s="5"/>
      <c r="E19" s="5"/>
      <c r="F19" s="5"/>
      <c r="G19" s="5"/>
      <c r="H19" s="21"/>
      <c r="K19" t="s">
        <v>67</v>
      </c>
      <c r="N19" s="65"/>
      <c r="O19" s="65"/>
      <c r="P19" s="65"/>
      <c r="Q19" s="65"/>
      <c r="R19" s="66">
        <f>R17+R18</f>
        <v>0.96</v>
      </c>
      <c r="S19" s="67">
        <f>S17+S18</f>
        <v>124359</v>
      </c>
      <c r="T19" s="62"/>
      <c r="U19" s="63"/>
    </row>
    <row r="20" spans="1:21" ht="12.75" thickBot="1">
      <c r="A20" s="12"/>
      <c r="B20" s="3"/>
      <c r="C20" s="3"/>
      <c r="D20" s="3"/>
      <c r="E20" s="3"/>
      <c r="F20" s="3"/>
      <c r="G20" s="3"/>
      <c r="H20" s="10"/>
      <c r="L20" s="59"/>
      <c r="M20" s="36"/>
      <c r="N20" s="60"/>
      <c r="O20" s="36"/>
      <c r="P20" s="59"/>
      <c r="Q20" s="36"/>
      <c r="R20" s="59"/>
      <c r="S20" s="36"/>
      <c r="T20" s="59"/>
      <c r="U20" s="36"/>
    </row>
    <row r="21" spans="1:21" ht="12">
      <c r="A21" s="11" t="s">
        <v>22</v>
      </c>
      <c r="B21" s="1" t="s">
        <v>15</v>
      </c>
      <c r="C21" s="1" t="s">
        <v>16</v>
      </c>
      <c r="D21" s="1" t="s">
        <v>17</v>
      </c>
      <c r="E21" s="1" t="s">
        <v>18</v>
      </c>
      <c r="F21" s="1" t="s">
        <v>19</v>
      </c>
      <c r="G21" s="18" t="s">
        <v>23</v>
      </c>
      <c r="H21" s="19" t="s">
        <v>26</v>
      </c>
      <c r="L21" s="59"/>
      <c r="M21" s="36"/>
      <c r="N21" s="60"/>
      <c r="O21" s="36"/>
      <c r="P21" s="59"/>
      <c r="Q21" s="36"/>
      <c r="R21" s="59"/>
      <c r="S21" s="36"/>
      <c r="T21" s="59"/>
      <c r="U21" s="36"/>
    </row>
    <row r="22" spans="1:21" ht="12">
      <c r="A22" s="12" t="s">
        <v>4</v>
      </c>
      <c r="B22" s="5"/>
      <c r="C22" s="5">
        <f>93925+59930+25287</f>
        <v>179142</v>
      </c>
      <c r="D22" s="5"/>
      <c r="E22" s="5"/>
      <c r="F22" s="5"/>
      <c r="G22" s="20">
        <f>SUM(B22:F22)</f>
        <v>179142</v>
      </c>
      <c r="H22" s="21">
        <f>G22/G33</f>
        <v>0.06264317393200246</v>
      </c>
      <c r="L22" s="59"/>
      <c r="M22" s="36"/>
      <c r="N22" s="60"/>
      <c r="O22" s="36"/>
      <c r="P22" s="59"/>
      <c r="Q22" s="36"/>
      <c r="R22" s="59"/>
      <c r="S22" s="36"/>
      <c r="T22" s="59"/>
      <c r="U22" s="36"/>
    </row>
    <row r="23" spans="1:21" ht="12">
      <c r="A23" s="12" t="s">
        <v>5</v>
      </c>
      <c r="B23" s="5"/>
      <c r="C23" s="5"/>
      <c r="D23" s="5">
        <f>98378+71988+68575+62205+41600</f>
        <v>342746</v>
      </c>
      <c r="E23" s="5"/>
      <c r="F23" s="5"/>
      <c r="G23" s="20">
        <f aca="true" t="shared" si="3" ref="G23:G31">SUM(B23:F23)</f>
        <v>342746</v>
      </c>
      <c r="H23" s="21">
        <f>G23/G33</f>
        <v>0.11985295068994493</v>
      </c>
      <c r="K23" t="s">
        <v>68</v>
      </c>
      <c r="L23" s="62">
        <f aca="true" t="shared" si="4" ref="L23:Q23">L17</f>
        <v>-3.29</v>
      </c>
      <c r="M23" s="63">
        <f t="shared" si="4"/>
        <v>-400000</v>
      </c>
      <c r="N23" s="64">
        <f t="shared" si="4"/>
        <v>0.29000000000000004</v>
      </c>
      <c r="O23" s="63">
        <f t="shared" si="4"/>
        <v>50986</v>
      </c>
      <c r="P23" s="64">
        <f t="shared" si="4"/>
        <v>0</v>
      </c>
      <c r="Q23" s="63">
        <f t="shared" si="4"/>
        <v>0</v>
      </c>
      <c r="R23" s="62">
        <f>R19</f>
        <v>0.96</v>
      </c>
      <c r="S23" s="63">
        <f>S19</f>
        <v>124359</v>
      </c>
      <c r="T23" s="63">
        <f>T17</f>
        <v>0</v>
      </c>
      <c r="U23" s="63">
        <f>U17</f>
        <v>0</v>
      </c>
    </row>
    <row r="24" spans="1:12" ht="12">
      <c r="A24" s="12" t="s">
        <v>33</v>
      </c>
      <c r="B24" s="5">
        <f>142683-71342</f>
        <v>71341</v>
      </c>
      <c r="C24" s="5">
        <f>85800-85800</f>
        <v>0</v>
      </c>
      <c r="D24" s="5"/>
      <c r="E24" s="5">
        <f>557740+71342+85800-32783</f>
        <v>682099</v>
      </c>
      <c r="F24" s="5"/>
      <c r="G24" s="20">
        <f t="shared" si="3"/>
        <v>753440</v>
      </c>
      <c r="H24" s="21">
        <f>G24/G33</f>
        <v>0.26346626121918887</v>
      </c>
      <c r="L24" s="34"/>
    </row>
    <row r="25" spans="1:8" ht="12">
      <c r="A25" s="12" t="s">
        <v>6</v>
      </c>
      <c r="B25" s="5">
        <f>90090-70876</f>
        <v>19214</v>
      </c>
      <c r="C25" s="5">
        <v>70876</v>
      </c>
      <c r="D25" s="5"/>
      <c r="E25" s="5">
        <v>55868</v>
      </c>
      <c r="F25" s="5"/>
      <c r="G25" s="20">
        <f t="shared" si="3"/>
        <v>145958</v>
      </c>
      <c r="H25" s="21">
        <f>G25/G33</f>
        <v>0.051039244737511105</v>
      </c>
    </row>
    <row r="26" spans="1:8" ht="12">
      <c r="A26" s="12" t="s">
        <v>7</v>
      </c>
      <c r="B26" s="5"/>
      <c r="C26" s="5"/>
      <c r="D26" s="5"/>
      <c r="E26" s="5"/>
      <c r="F26" s="5">
        <f>85800+72865</f>
        <v>158665</v>
      </c>
      <c r="G26" s="20">
        <f t="shared" si="3"/>
        <v>158665</v>
      </c>
      <c r="H26" s="21">
        <f>G26/G33</f>
        <v>0.05548268519901067</v>
      </c>
    </row>
    <row r="27" spans="1:10" ht="12">
      <c r="A27" s="12" t="s">
        <v>8</v>
      </c>
      <c r="B27" s="5">
        <f>169482-65910</f>
        <v>103572</v>
      </c>
      <c r="C27" s="5">
        <f>37798+65910</f>
        <v>103708</v>
      </c>
      <c r="D27" s="5">
        <v>153363</v>
      </c>
      <c r="E27" s="5">
        <v>161395</v>
      </c>
      <c r="F27" s="5">
        <v>77838</v>
      </c>
      <c r="G27" s="20">
        <f t="shared" si="3"/>
        <v>599876</v>
      </c>
      <c r="H27" s="21">
        <f>G27/G33</f>
        <v>0.2097673164619905</v>
      </c>
      <c r="J27" s="35"/>
    </row>
    <row r="28" spans="1:16" ht="12">
      <c r="A28" s="12" t="s">
        <v>9</v>
      </c>
      <c r="B28" s="5">
        <f>178480+92333</f>
        <v>270813</v>
      </c>
      <c r="C28" s="5"/>
      <c r="D28" s="5"/>
      <c r="E28" s="5"/>
      <c r="F28" s="5"/>
      <c r="G28" s="20">
        <f t="shared" si="3"/>
        <v>270813</v>
      </c>
      <c r="H28" s="21">
        <f>G28/G33</f>
        <v>0.09469909826867726</v>
      </c>
      <c r="J28" s="34"/>
      <c r="N28" s="34"/>
      <c r="P28" s="36"/>
    </row>
    <row r="29" spans="1:16" ht="12">
      <c r="A29" s="12" t="s">
        <v>10</v>
      </c>
      <c r="B29" s="5">
        <f>131820*0.7</f>
        <v>92274</v>
      </c>
      <c r="C29" s="5">
        <f>80925+131820*0.3</f>
        <v>120471</v>
      </c>
      <c r="D29" s="5"/>
      <c r="E29" s="5">
        <v>37768</v>
      </c>
      <c r="F29" s="5"/>
      <c r="G29" s="20">
        <f t="shared" si="3"/>
        <v>250513</v>
      </c>
      <c r="H29" s="21">
        <f>G29/G33</f>
        <v>0.08760050368549939</v>
      </c>
      <c r="J29" s="34"/>
      <c r="N29" s="34"/>
      <c r="P29" s="36"/>
    </row>
    <row r="30" spans="1:16" ht="12">
      <c r="A30" s="12" t="s">
        <v>14</v>
      </c>
      <c r="B30" s="5"/>
      <c r="C30" s="5">
        <v>76863</v>
      </c>
      <c r="D30" s="5"/>
      <c r="E30" s="5"/>
      <c r="F30" s="5"/>
      <c r="G30" s="20">
        <f t="shared" si="3"/>
        <v>76863</v>
      </c>
      <c r="H30" s="21">
        <f>G30/G33</f>
        <v>0.026877796820039438</v>
      </c>
      <c r="J30" s="34"/>
      <c r="P30" s="37"/>
    </row>
    <row r="31" spans="1:16" ht="12">
      <c r="A31" s="12" t="s">
        <v>11</v>
      </c>
      <c r="B31" s="5">
        <v>81705</v>
      </c>
      <c r="C31" s="5"/>
      <c r="D31" s="5"/>
      <c r="E31" s="5"/>
      <c r="F31" s="5"/>
      <c r="G31" s="20">
        <f t="shared" si="3"/>
        <v>81705</v>
      </c>
      <c r="H31" s="21">
        <f>G31/G33</f>
        <v>0.02857096898613536</v>
      </c>
      <c r="P31" s="36"/>
    </row>
    <row r="32" spans="1:16" ht="12">
      <c r="A32" s="12" t="s">
        <v>12</v>
      </c>
      <c r="B32" s="5">
        <f>98378-49189</f>
        <v>49189</v>
      </c>
      <c r="C32" s="5">
        <v>0</v>
      </c>
      <c r="D32" s="5"/>
      <c r="E32" s="5"/>
      <c r="F32" s="5"/>
      <c r="G32" s="20">
        <f>SUM(C32:F32)</f>
        <v>0</v>
      </c>
      <c r="H32" s="21">
        <f>G32/G33-0.0001</f>
        <v>-0.0001</v>
      </c>
      <c r="J32" s="34"/>
      <c r="N32" s="33"/>
      <c r="O32" s="33"/>
      <c r="P32" s="38"/>
    </row>
    <row r="33" spans="1:16" ht="12.75" thickBot="1">
      <c r="A33" s="12" t="s">
        <v>13</v>
      </c>
      <c r="B33" s="2">
        <f aca="true" t="shared" si="5" ref="B33:G33">SUM(B22:B32)</f>
        <v>688108</v>
      </c>
      <c r="C33" s="2">
        <f t="shared" si="5"/>
        <v>551060</v>
      </c>
      <c r="D33" s="2">
        <f t="shared" si="5"/>
        <v>496109</v>
      </c>
      <c r="E33" s="2">
        <f t="shared" si="5"/>
        <v>937130</v>
      </c>
      <c r="F33" s="2">
        <f t="shared" si="5"/>
        <v>236503</v>
      </c>
      <c r="G33" s="22">
        <f t="shared" si="5"/>
        <v>2859721</v>
      </c>
      <c r="H33" s="23">
        <v>1</v>
      </c>
      <c r="P33" s="36"/>
    </row>
    <row r="34" spans="1:12" ht="12">
      <c r="A34" s="12"/>
      <c r="B34" s="5"/>
      <c r="C34" s="5"/>
      <c r="D34" s="5"/>
      <c r="E34" s="5"/>
      <c r="F34" s="5"/>
      <c r="G34" s="5"/>
      <c r="H34" s="21"/>
      <c r="J34" s="34"/>
      <c r="L34" s="36"/>
    </row>
    <row r="35" spans="1:12" ht="12">
      <c r="A35" s="12"/>
      <c r="B35" s="5"/>
      <c r="C35" s="5"/>
      <c r="D35" s="5"/>
      <c r="E35" s="5"/>
      <c r="F35" s="5"/>
      <c r="G35" s="5"/>
      <c r="H35" s="14"/>
      <c r="J35" s="34"/>
      <c r="L35" s="36"/>
    </row>
    <row r="36" spans="1:12" ht="12">
      <c r="A36" s="12" t="s">
        <v>24</v>
      </c>
      <c r="B36" s="2">
        <f>B18</f>
        <v>1088108</v>
      </c>
      <c r="C36" s="2">
        <f>C18</f>
        <v>500074</v>
      </c>
      <c r="D36" s="2">
        <f>D18</f>
        <v>496109</v>
      </c>
      <c r="E36" s="2">
        <f>E18</f>
        <v>812771</v>
      </c>
      <c r="F36" s="2">
        <f>F18</f>
        <v>236503</v>
      </c>
      <c r="G36" s="2">
        <f>SUM(B36:F36)</f>
        <v>3133565</v>
      </c>
      <c r="H36" s="13"/>
      <c r="L36" s="36"/>
    </row>
    <row r="37" spans="1:12" ht="12">
      <c r="A37" s="12"/>
      <c r="B37" s="5"/>
      <c r="C37" s="5"/>
      <c r="D37" s="5"/>
      <c r="E37" s="5"/>
      <c r="F37" s="5"/>
      <c r="G37" s="5"/>
      <c r="H37" s="14"/>
      <c r="L37" s="36"/>
    </row>
    <row r="38" spans="1:12" ht="12">
      <c r="A38" s="12" t="s">
        <v>25</v>
      </c>
      <c r="B38" s="2">
        <f>B33-B36</f>
        <v>-400000</v>
      </c>
      <c r="C38" s="2">
        <f>C33-C36</f>
        <v>50986</v>
      </c>
      <c r="D38" s="2">
        <f>D33-D36</f>
        <v>0</v>
      </c>
      <c r="E38" s="2">
        <f>E33-E36</f>
        <v>124359</v>
      </c>
      <c r="F38" s="2">
        <f>F33-F36</f>
        <v>0</v>
      </c>
      <c r="G38" s="2">
        <f>SUM(B38:F38)</f>
        <v>-224655</v>
      </c>
      <c r="H38" s="13"/>
      <c r="L38" s="37"/>
    </row>
    <row r="39" spans="1:8" ht="12">
      <c r="A39" s="12"/>
      <c r="B39" s="5"/>
      <c r="C39" s="5"/>
      <c r="D39" s="5"/>
      <c r="E39" s="5"/>
      <c r="F39" s="5"/>
      <c r="G39" s="5"/>
      <c r="H39" s="14"/>
    </row>
    <row r="40" spans="1:8" ht="12">
      <c r="A40" s="12" t="s">
        <v>27</v>
      </c>
      <c r="B40" s="17">
        <f aca="true" t="shared" si="6" ref="B40:G40">B38/B36</f>
        <v>-0.3676105680686108</v>
      </c>
      <c r="C40" s="17">
        <f t="shared" si="6"/>
        <v>0.10195691037726416</v>
      </c>
      <c r="D40" s="17">
        <f t="shared" si="6"/>
        <v>0</v>
      </c>
      <c r="E40" s="17">
        <f t="shared" si="6"/>
        <v>0.15300619731757162</v>
      </c>
      <c r="F40" s="17">
        <f t="shared" si="6"/>
        <v>0</v>
      </c>
      <c r="G40" s="17">
        <f t="shared" si="6"/>
        <v>-0.0716931035418126</v>
      </c>
      <c r="H40" s="13"/>
    </row>
    <row r="41" spans="1:8" ht="12.75" thickBot="1">
      <c r="A41" s="15"/>
      <c r="B41" s="26"/>
      <c r="C41" s="26"/>
      <c r="D41" s="26"/>
      <c r="E41" s="26"/>
      <c r="F41" s="26"/>
      <c r="G41" s="26"/>
      <c r="H41" s="27"/>
    </row>
    <row r="45" ht="12.75" thickBot="1">
      <c r="E45" s="33" t="s">
        <v>39</v>
      </c>
    </row>
    <row r="46" spans="1:8" ht="12">
      <c r="A46" s="6" t="s">
        <v>20</v>
      </c>
      <c r="B46" s="7"/>
      <c r="C46" s="7"/>
      <c r="D46" s="7"/>
      <c r="E46" s="7"/>
      <c r="F46" s="7"/>
      <c r="G46" s="7"/>
      <c r="H46" s="8"/>
    </row>
    <row r="47" spans="1:8" ht="12">
      <c r="A47" s="9" t="s">
        <v>21</v>
      </c>
      <c r="B47" s="3"/>
      <c r="C47" s="3"/>
      <c r="D47" s="3"/>
      <c r="E47" s="3"/>
      <c r="F47" s="3"/>
      <c r="G47" s="3"/>
      <c r="H47" s="10"/>
    </row>
    <row r="48" spans="1:8" ht="12.75" thickBot="1">
      <c r="A48" s="9" t="s">
        <v>34</v>
      </c>
      <c r="B48" s="3"/>
      <c r="C48" s="3"/>
      <c r="D48" s="3"/>
      <c r="E48" s="3"/>
      <c r="F48" s="3"/>
      <c r="G48" s="3"/>
      <c r="H48" s="10"/>
    </row>
    <row r="49" spans="1:8" ht="12">
      <c r="A49" s="11" t="s">
        <v>22</v>
      </c>
      <c r="B49" s="1" t="s">
        <v>15</v>
      </c>
      <c r="C49" s="1" t="s">
        <v>16</v>
      </c>
      <c r="D49" s="1" t="s">
        <v>17</v>
      </c>
      <c r="E49" s="1" t="s">
        <v>18</v>
      </c>
      <c r="F49" s="1" t="s">
        <v>19</v>
      </c>
      <c r="G49" s="18" t="s">
        <v>23</v>
      </c>
      <c r="H49" s="19" t="s">
        <v>26</v>
      </c>
    </row>
    <row r="50" spans="1:8" ht="12">
      <c r="A50" s="12" t="s">
        <v>4</v>
      </c>
      <c r="B50" s="16"/>
      <c r="C50" s="16">
        <v>2.5</v>
      </c>
      <c r="D50" s="16"/>
      <c r="E50" s="16"/>
      <c r="F50" s="16"/>
      <c r="G50" s="24">
        <f>SUM(B50:F50)</f>
        <v>2.5</v>
      </c>
      <c r="H50" s="21">
        <f>G50/G61</f>
        <v>0.07028394714647175</v>
      </c>
    </row>
    <row r="51" spans="1:8" ht="12">
      <c r="A51" s="12" t="s">
        <v>5</v>
      </c>
      <c r="B51" s="16"/>
      <c r="C51" s="16"/>
      <c r="D51" s="16">
        <v>5</v>
      </c>
      <c r="E51" s="16"/>
      <c r="F51" s="16"/>
      <c r="G51" s="24">
        <f aca="true" t="shared" si="7" ref="G51:G60">SUM(B51:F51)</f>
        <v>5</v>
      </c>
      <c r="H51" s="21">
        <f>G51/G61</f>
        <v>0.1405678942929435</v>
      </c>
    </row>
    <row r="52" spans="1:8" ht="12">
      <c r="A52" s="12" t="s">
        <v>33</v>
      </c>
      <c r="B52" s="16">
        <v>1</v>
      </c>
      <c r="C52" s="16">
        <v>1</v>
      </c>
      <c r="D52" s="16"/>
      <c r="E52" s="16">
        <v>7.31</v>
      </c>
      <c r="F52" s="16"/>
      <c r="G52" s="24">
        <f t="shared" si="7"/>
        <v>9.309999999999999</v>
      </c>
      <c r="H52" s="21">
        <f>G52/G61</f>
        <v>0.2617374191734607</v>
      </c>
    </row>
    <row r="53" spans="1:8" ht="12">
      <c r="A53" s="12" t="s">
        <v>6</v>
      </c>
      <c r="B53" s="16">
        <v>1</v>
      </c>
      <c r="C53" s="16">
        <v>0</v>
      </c>
      <c r="D53" s="16"/>
      <c r="E53" s="16">
        <v>1</v>
      </c>
      <c r="F53" s="16"/>
      <c r="G53" s="24">
        <f t="shared" si="7"/>
        <v>2</v>
      </c>
      <c r="H53" s="21">
        <f>G53/G61</f>
        <v>0.056227157717177394</v>
      </c>
    </row>
    <row r="54" spans="1:8" ht="12">
      <c r="A54" s="12" t="s">
        <v>7</v>
      </c>
      <c r="B54" s="16"/>
      <c r="C54" s="16"/>
      <c r="D54" s="16"/>
      <c r="E54" s="16"/>
      <c r="F54" s="16">
        <v>2</v>
      </c>
      <c r="G54" s="24">
        <f t="shared" si="7"/>
        <v>2</v>
      </c>
      <c r="H54" s="21">
        <f>G54/G61</f>
        <v>0.056227157717177394</v>
      </c>
    </row>
    <row r="55" spans="1:8" ht="12">
      <c r="A55" s="12" t="s">
        <v>8</v>
      </c>
      <c r="B55" s="16">
        <v>1.18</v>
      </c>
      <c r="C55" s="16">
        <v>0.5</v>
      </c>
      <c r="D55" s="16">
        <v>1.32</v>
      </c>
      <c r="E55" s="16">
        <v>2</v>
      </c>
      <c r="F55" s="16">
        <v>1</v>
      </c>
      <c r="G55" s="24">
        <f t="shared" si="7"/>
        <v>6</v>
      </c>
      <c r="H55" s="21">
        <f>G55/G61</f>
        <v>0.1686814731515322</v>
      </c>
    </row>
    <row r="56" spans="1:8" ht="12">
      <c r="A56" s="12" t="s">
        <v>9</v>
      </c>
      <c r="B56" s="16">
        <v>3</v>
      </c>
      <c r="C56" s="16"/>
      <c r="D56" s="16"/>
      <c r="E56" s="16"/>
      <c r="F56" s="16"/>
      <c r="G56" s="24">
        <f t="shared" si="7"/>
        <v>3</v>
      </c>
      <c r="H56" s="21">
        <f>G56/G61</f>
        <v>0.0843407365757661</v>
      </c>
    </row>
    <row r="57" spans="1:8" ht="12">
      <c r="A57" s="12" t="s">
        <v>10</v>
      </c>
      <c r="B57" s="16">
        <v>0.7</v>
      </c>
      <c r="C57" s="16">
        <v>1.3</v>
      </c>
      <c r="D57" s="16"/>
      <c r="E57" s="16">
        <v>0.76</v>
      </c>
      <c r="F57" s="16"/>
      <c r="G57" s="24">
        <f t="shared" si="7"/>
        <v>2.76</v>
      </c>
      <c r="H57" s="21">
        <f>G57/G61</f>
        <v>0.0775934776497048</v>
      </c>
    </row>
    <row r="58" spans="1:8" ht="12">
      <c r="A58" s="12" t="s">
        <v>14</v>
      </c>
      <c r="B58" s="16"/>
      <c r="C58" s="16">
        <v>1</v>
      </c>
      <c r="D58" s="16"/>
      <c r="E58" s="16"/>
      <c r="F58" s="16"/>
      <c r="G58" s="24">
        <f t="shared" si="7"/>
        <v>1</v>
      </c>
      <c r="H58" s="21">
        <f>G58/G61</f>
        <v>0.028113578858588697</v>
      </c>
    </row>
    <row r="59" spans="1:8" ht="12">
      <c r="A59" s="12" t="s">
        <v>11</v>
      </c>
      <c r="B59" s="16">
        <v>1</v>
      </c>
      <c r="C59" s="16"/>
      <c r="D59" s="16"/>
      <c r="E59" s="16"/>
      <c r="F59" s="16"/>
      <c r="G59" s="24">
        <f t="shared" si="7"/>
        <v>1</v>
      </c>
      <c r="H59" s="21">
        <f>G59/G61</f>
        <v>0.028113578858588697</v>
      </c>
    </row>
    <row r="60" spans="1:8" ht="12">
      <c r="A60" s="12" t="s">
        <v>12</v>
      </c>
      <c r="B60" s="16">
        <v>1</v>
      </c>
      <c r="C60" s="16"/>
      <c r="D60" s="16"/>
      <c r="E60" s="16"/>
      <c r="F60" s="16"/>
      <c r="G60" s="24">
        <f t="shared" si="7"/>
        <v>1</v>
      </c>
      <c r="H60" s="21">
        <f>G60/G61-0.0001</f>
        <v>0.028013578858588697</v>
      </c>
    </row>
    <row r="61" spans="1:8" ht="12.75" thickBot="1">
      <c r="A61" s="12" t="s">
        <v>13</v>
      </c>
      <c r="B61" s="4">
        <f aca="true" t="shared" si="8" ref="B61:G61">SUM(B50:B60)</f>
        <v>8.879999999999999</v>
      </c>
      <c r="C61" s="4">
        <f>SUM(C50:C60)</f>
        <v>6.3</v>
      </c>
      <c r="D61" s="4">
        <f t="shared" si="8"/>
        <v>6.32</v>
      </c>
      <c r="E61" s="4">
        <f t="shared" si="8"/>
        <v>11.069999999999999</v>
      </c>
      <c r="F61" s="4">
        <f t="shared" si="8"/>
        <v>3</v>
      </c>
      <c r="G61" s="25">
        <f t="shared" si="8"/>
        <v>35.57</v>
      </c>
      <c r="H61" s="23">
        <v>1</v>
      </c>
    </row>
    <row r="62" spans="1:8" ht="12.75" thickBot="1">
      <c r="A62" s="15"/>
      <c r="B62" s="26"/>
      <c r="C62" s="26"/>
      <c r="D62" s="26"/>
      <c r="E62" s="26"/>
      <c r="F62" s="26"/>
      <c r="G62" s="26"/>
      <c r="H62" s="27"/>
    </row>
    <row r="63" spans="1:8" ht="12">
      <c r="A63" s="12"/>
      <c r="B63" s="3"/>
      <c r="C63" s="3"/>
      <c r="D63" s="3"/>
      <c r="E63" s="3"/>
      <c r="F63" s="3"/>
      <c r="G63" s="3"/>
      <c r="H63" s="10"/>
    </row>
    <row r="64" spans="1:8" ht="12">
      <c r="A64" s="12"/>
      <c r="B64" s="3"/>
      <c r="C64" s="3"/>
      <c r="D64" s="3"/>
      <c r="E64" s="3"/>
      <c r="F64" s="3"/>
      <c r="G64" s="3"/>
      <c r="H64" s="10"/>
    </row>
    <row r="65" spans="1:8" ht="12.75" thickBot="1">
      <c r="A65" s="9" t="s">
        <v>35</v>
      </c>
      <c r="B65" s="3"/>
      <c r="C65" s="3"/>
      <c r="D65" s="3"/>
      <c r="E65" s="3"/>
      <c r="F65" s="33"/>
      <c r="G65" s="3"/>
      <c r="H65" s="10"/>
    </row>
    <row r="66" spans="1:8" ht="12">
      <c r="A66" s="28" t="s">
        <v>22</v>
      </c>
      <c r="B66" s="29" t="s">
        <v>15</v>
      </c>
      <c r="C66" s="29" t="s">
        <v>16</v>
      </c>
      <c r="D66" s="29" t="s">
        <v>17</v>
      </c>
      <c r="E66" s="29" t="s">
        <v>18</v>
      </c>
      <c r="F66" s="29" t="s">
        <v>19</v>
      </c>
      <c r="G66" s="18" t="s">
        <v>23</v>
      </c>
      <c r="H66" s="19" t="s">
        <v>26</v>
      </c>
    </row>
    <row r="67" spans="1:8" ht="12">
      <c r="A67" s="12" t="s">
        <v>4</v>
      </c>
      <c r="B67" s="16"/>
      <c r="C67" s="16">
        <v>2.5</v>
      </c>
      <c r="D67" s="16"/>
      <c r="E67" s="16"/>
      <c r="F67" s="16"/>
      <c r="G67" s="24">
        <f>SUM(B67:F67)</f>
        <v>2.5</v>
      </c>
      <c r="H67" s="21">
        <f>G67/G78</f>
        <v>0.07456009543692216</v>
      </c>
    </row>
    <row r="68" spans="1:8" ht="12">
      <c r="A68" s="12" t="s">
        <v>5</v>
      </c>
      <c r="B68" s="16"/>
      <c r="C68" s="16"/>
      <c r="D68" s="16">
        <v>5</v>
      </c>
      <c r="E68" s="16"/>
      <c r="F68" s="16"/>
      <c r="G68" s="24">
        <f aca="true" t="shared" si="9" ref="G68:G77">SUM(B68:F68)</f>
        <v>5</v>
      </c>
      <c r="H68" s="21">
        <f>G68/G78</f>
        <v>0.14912019087384432</v>
      </c>
    </row>
    <row r="69" spans="1:8" ht="12">
      <c r="A69" s="12" t="s">
        <v>33</v>
      </c>
      <c r="B69" s="16">
        <f>1-0.5</f>
        <v>0.5</v>
      </c>
      <c r="C69" s="16">
        <f>1-1</f>
        <v>0</v>
      </c>
      <c r="D69" s="16"/>
      <c r="E69" s="16">
        <f>7.31+1+0.5-0.54</f>
        <v>8.27</v>
      </c>
      <c r="F69" s="16"/>
      <c r="G69" s="24">
        <f t="shared" si="9"/>
        <v>8.77</v>
      </c>
      <c r="H69" s="21">
        <f>G69/G78</f>
        <v>0.2615568147927229</v>
      </c>
    </row>
    <row r="70" spans="1:8" ht="12">
      <c r="A70" s="12" t="s">
        <v>6</v>
      </c>
      <c r="B70" s="16">
        <v>0.21</v>
      </c>
      <c r="C70" s="16">
        <v>0.79</v>
      </c>
      <c r="D70" s="16"/>
      <c r="E70" s="16">
        <v>1</v>
      </c>
      <c r="F70" s="16"/>
      <c r="G70" s="24">
        <f t="shared" si="9"/>
        <v>2</v>
      </c>
      <c r="H70" s="21">
        <f>G70/G78</f>
        <v>0.059648076349537726</v>
      </c>
    </row>
    <row r="71" spans="1:8" ht="12">
      <c r="A71" s="12" t="s">
        <v>7</v>
      </c>
      <c r="B71" s="16"/>
      <c r="C71" s="16"/>
      <c r="D71" s="16"/>
      <c r="E71" s="16"/>
      <c r="F71" s="16">
        <v>2</v>
      </c>
      <c r="G71" s="24">
        <f t="shared" si="9"/>
        <v>2</v>
      </c>
      <c r="H71" s="21">
        <f>G71/G78</f>
        <v>0.059648076349537726</v>
      </c>
    </row>
    <row r="72" spans="1:8" ht="12">
      <c r="A72" s="12" t="s">
        <v>8</v>
      </c>
      <c r="B72" s="16">
        <f>1.18-0.5</f>
        <v>0.6799999999999999</v>
      </c>
      <c r="C72" s="16">
        <f>0.5+0.5</f>
        <v>1</v>
      </c>
      <c r="D72" s="16">
        <f>1.32</f>
        <v>1.32</v>
      </c>
      <c r="E72" s="16">
        <v>2</v>
      </c>
      <c r="F72" s="16">
        <f>1</f>
        <v>1</v>
      </c>
      <c r="G72" s="24">
        <f t="shared" si="9"/>
        <v>6</v>
      </c>
      <c r="H72" s="21">
        <f>G72/G78</f>
        <v>0.17894422904861318</v>
      </c>
    </row>
    <row r="73" spans="1:8" ht="12">
      <c r="A73" s="12" t="s">
        <v>9</v>
      </c>
      <c r="B73" s="16">
        <f>3-1</f>
        <v>2</v>
      </c>
      <c r="C73" s="16"/>
      <c r="D73" s="16"/>
      <c r="E73" s="16"/>
      <c r="F73" s="16"/>
      <c r="G73" s="24">
        <f t="shared" si="9"/>
        <v>2</v>
      </c>
      <c r="H73" s="21">
        <f>G73/G78</f>
        <v>0.059648076349537726</v>
      </c>
    </row>
    <row r="74" spans="1:8" ht="12">
      <c r="A74" s="12" t="s">
        <v>10</v>
      </c>
      <c r="B74" s="16">
        <v>0.7</v>
      </c>
      <c r="C74" s="16">
        <v>1.3</v>
      </c>
      <c r="D74" s="16"/>
      <c r="E74" s="16">
        <v>0.76</v>
      </c>
      <c r="F74" s="16"/>
      <c r="G74" s="24">
        <f t="shared" si="9"/>
        <v>2.76</v>
      </c>
      <c r="H74" s="21">
        <f>G74/G78</f>
        <v>0.08231434536236205</v>
      </c>
    </row>
    <row r="75" spans="1:8" ht="12">
      <c r="A75" s="12" t="s">
        <v>14</v>
      </c>
      <c r="B75" s="16"/>
      <c r="C75" s="16">
        <v>1</v>
      </c>
      <c r="D75" s="16"/>
      <c r="E75" s="16"/>
      <c r="F75" s="16"/>
      <c r="G75" s="24">
        <f t="shared" si="9"/>
        <v>1</v>
      </c>
      <c r="H75" s="21">
        <f>G75/G78</f>
        <v>0.029824038174768863</v>
      </c>
    </row>
    <row r="76" spans="1:8" ht="12">
      <c r="A76" s="12" t="s">
        <v>11</v>
      </c>
      <c r="B76" s="16">
        <v>1</v>
      </c>
      <c r="C76" s="16"/>
      <c r="D76" s="16"/>
      <c r="E76" s="16"/>
      <c r="F76" s="16"/>
      <c r="G76" s="24">
        <f t="shared" si="9"/>
        <v>1</v>
      </c>
      <c r="H76" s="21">
        <f>G76/G78</f>
        <v>0.029824038174768863</v>
      </c>
    </row>
    <row r="77" spans="1:8" ht="12">
      <c r="A77" s="12" t="s">
        <v>12</v>
      </c>
      <c r="B77" s="16">
        <f>1-0.5</f>
        <v>0.5</v>
      </c>
      <c r="C77" s="16">
        <v>0</v>
      </c>
      <c r="D77" s="16"/>
      <c r="E77" s="16"/>
      <c r="F77" s="16"/>
      <c r="G77" s="24">
        <f t="shared" si="9"/>
        <v>0.5</v>
      </c>
      <c r="H77" s="21">
        <f>G77/G78</f>
        <v>0.014912019087384432</v>
      </c>
    </row>
    <row r="78" spans="1:8" ht="12.75" thickBot="1">
      <c r="A78" s="30" t="s">
        <v>13</v>
      </c>
      <c r="B78" s="4">
        <f aca="true" t="shared" si="10" ref="B78:G78">SUM(B67:B77)</f>
        <v>5.59</v>
      </c>
      <c r="C78" s="4">
        <f t="shared" si="10"/>
        <v>6.59</v>
      </c>
      <c r="D78" s="4">
        <f t="shared" si="10"/>
        <v>6.32</v>
      </c>
      <c r="E78" s="4">
        <f t="shared" si="10"/>
        <v>12.03</v>
      </c>
      <c r="F78" s="4">
        <f t="shared" si="10"/>
        <v>3</v>
      </c>
      <c r="G78" s="25">
        <f t="shared" si="10"/>
        <v>33.53</v>
      </c>
      <c r="H78" s="23">
        <f>SUM(H67:H77)</f>
        <v>1</v>
      </c>
    </row>
    <row r="79" spans="1:8" ht="12">
      <c r="A79" s="12"/>
      <c r="B79" s="3"/>
      <c r="C79" s="3"/>
      <c r="D79" s="3"/>
      <c r="E79" s="3"/>
      <c r="F79" s="3"/>
      <c r="G79" s="3"/>
      <c r="H79" s="10"/>
    </row>
    <row r="80" spans="1:8" ht="12">
      <c r="A80" s="12" t="s">
        <v>28</v>
      </c>
      <c r="B80" s="4">
        <v>8.88</v>
      </c>
      <c r="C80" s="4">
        <v>6.3</v>
      </c>
      <c r="D80" s="4">
        <v>6.32</v>
      </c>
      <c r="E80" s="4">
        <v>11.07</v>
      </c>
      <c r="F80" s="4">
        <v>3</v>
      </c>
      <c r="G80" s="4">
        <f>SUM(B80:F80)</f>
        <v>35.57</v>
      </c>
      <c r="H80" s="13"/>
    </row>
    <row r="81" spans="1:8" ht="12">
      <c r="A81" s="12"/>
      <c r="B81" s="5"/>
      <c r="C81" s="5"/>
      <c r="D81" s="5"/>
      <c r="E81" s="5"/>
      <c r="F81" s="5"/>
      <c r="G81" s="5"/>
      <c r="H81" s="14"/>
    </row>
    <row r="82" spans="1:11" ht="12">
      <c r="A82" s="12" t="s">
        <v>29</v>
      </c>
      <c r="B82" s="4">
        <f>B78-B80</f>
        <v>-3.290000000000001</v>
      </c>
      <c r="C82" s="4">
        <f>C78-C80</f>
        <v>0.29000000000000004</v>
      </c>
      <c r="D82" s="4">
        <f>D78-D80</f>
        <v>0</v>
      </c>
      <c r="E82" s="4">
        <f>E78-E80</f>
        <v>0.9599999999999991</v>
      </c>
      <c r="F82" s="4">
        <f>F78-F80</f>
        <v>0</v>
      </c>
      <c r="G82" s="4">
        <f>SUM(B82:F82)</f>
        <v>-2.040000000000002</v>
      </c>
      <c r="H82" s="13"/>
      <c r="J82" s="33"/>
      <c r="K82" s="33"/>
    </row>
    <row r="83" spans="1:10" ht="12">
      <c r="A83" s="12"/>
      <c r="B83" s="5"/>
      <c r="C83" s="5"/>
      <c r="D83" s="5"/>
      <c r="E83" s="5"/>
      <c r="F83" s="5"/>
      <c r="G83" s="5"/>
      <c r="H83" s="14"/>
      <c r="J83" s="33"/>
    </row>
    <row r="84" spans="1:10" ht="12">
      <c r="A84" s="12"/>
      <c r="B84" s="5"/>
      <c r="C84" s="5"/>
      <c r="D84" s="5"/>
      <c r="E84" s="5"/>
      <c r="F84" s="5"/>
      <c r="G84" s="5"/>
      <c r="H84" s="14"/>
      <c r="J84" s="33"/>
    </row>
    <row r="85" spans="1:8" ht="12">
      <c r="A85" s="12" t="s">
        <v>30</v>
      </c>
      <c r="B85" s="17">
        <f aca="true" t="shared" si="11" ref="B85:G85">B82/B80</f>
        <v>-0.37049549549549554</v>
      </c>
      <c r="C85" s="17">
        <f t="shared" si="11"/>
        <v>0.04603174603174604</v>
      </c>
      <c r="D85" s="17">
        <f t="shared" si="11"/>
        <v>0</v>
      </c>
      <c r="E85" s="17">
        <f t="shared" si="11"/>
        <v>0.086720867208672</v>
      </c>
      <c r="F85" s="17">
        <f t="shared" si="11"/>
        <v>0</v>
      </c>
      <c r="G85" s="17">
        <f t="shared" si="11"/>
        <v>-0.05735170087152099</v>
      </c>
      <c r="H85" s="13"/>
    </row>
    <row r="86" spans="1:8" ht="12.75" thickBot="1">
      <c r="A86" s="15"/>
      <c r="B86" s="26"/>
      <c r="C86" s="26"/>
      <c r="D86" s="26"/>
      <c r="E86" s="26"/>
      <c r="F86" s="26"/>
      <c r="G86" s="26"/>
      <c r="H86" s="27"/>
    </row>
  </sheetData>
  <mergeCells count="5">
    <mergeCell ref="T9:U9"/>
    <mergeCell ref="L9:M9"/>
    <mergeCell ref="N9:O9"/>
    <mergeCell ref="P9:Q9"/>
    <mergeCell ref="R9:S9"/>
  </mergeCells>
  <printOptions gridLines="1"/>
  <pageMargins left="0.75" right="0.25" top="0.25" bottom="0.25" header="0.5" footer="0.5"/>
  <pageSetup horizontalDpi="600" verticalDpi="600" orientation="landscape" scale="105"/>
  <headerFooter alignWithMargins="0">
    <oddFooter>&amp;R&amp;D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86"/>
  <sheetViews>
    <sheetView workbookViewId="0" topLeftCell="D1">
      <selection activeCell="J5" sqref="J5:T22"/>
    </sheetView>
  </sheetViews>
  <sheetFormatPr defaultColWidth="8.8515625" defaultRowHeight="12.75"/>
  <cols>
    <col min="1" max="1" width="17.00390625" style="0" customWidth="1"/>
    <col min="2" max="2" width="10.421875" style="0" customWidth="1"/>
    <col min="5" max="5" width="10.8515625" style="0" customWidth="1"/>
    <col min="6" max="6" width="12.8515625" style="0" customWidth="1"/>
    <col min="7" max="7" width="11.421875" style="0" customWidth="1"/>
    <col min="10" max="10" width="15.8515625" style="0" customWidth="1"/>
    <col min="12" max="12" width="10.421875" style="0" customWidth="1"/>
    <col min="13" max="13" width="9.421875" style="0" bestFit="1" customWidth="1"/>
    <col min="14" max="14" width="10.421875" style="0" customWidth="1"/>
    <col min="16" max="16" width="9.7109375" style="0" customWidth="1"/>
  </cols>
  <sheetData>
    <row r="1" ht="12.75" thickBot="1"/>
    <row r="2" spans="6:7" ht="12.75" thickBot="1">
      <c r="F2" s="39" t="s">
        <v>40</v>
      </c>
      <c r="G2" s="40"/>
    </row>
    <row r="3" spans="1:8" ht="12">
      <c r="A3" s="6" t="s">
        <v>20</v>
      </c>
      <c r="B3" s="7"/>
      <c r="C3" s="7"/>
      <c r="D3" s="7"/>
      <c r="E3" s="7"/>
      <c r="F3" s="7"/>
      <c r="G3" s="7"/>
      <c r="H3" s="8"/>
    </row>
    <row r="4" spans="1:8" ht="12.75" thickBot="1">
      <c r="A4" s="9" t="s">
        <v>21</v>
      </c>
      <c r="B4" s="3"/>
      <c r="C4" s="3"/>
      <c r="D4" s="3"/>
      <c r="E4" s="3"/>
      <c r="F4" s="3"/>
      <c r="G4" s="3"/>
      <c r="H4" s="10"/>
    </row>
    <row r="5" spans="1:14" ht="12.75" thickBot="1">
      <c r="A5" s="9" t="s">
        <v>32</v>
      </c>
      <c r="B5" s="3"/>
      <c r="C5" s="3"/>
      <c r="D5" s="3"/>
      <c r="E5" s="3"/>
      <c r="F5" s="3"/>
      <c r="G5" s="3"/>
      <c r="H5" s="10"/>
      <c r="K5" s="68" t="s">
        <v>65</v>
      </c>
      <c r="L5" s="44"/>
      <c r="M5" s="44"/>
      <c r="N5" s="40"/>
    </row>
    <row r="6" spans="1:8" ht="12">
      <c r="A6" s="28" t="s">
        <v>22</v>
      </c>
      <c r="B6" s="29" t="s">
        <v>15</v>
      </c>
      <c r="C6" s="29" t="s">
        <v>16</v>
      </c>
      <c r="D6" s="29" t="s">
        <v>17</v>
      </c>
      <c r="E6" s="29" t="s">
        <v>18</v>
      </c>
      <c r="F6" s="29" t="s">
        <v>19</v>
      </c>
      <c r="G6" s="18" t="s">
        <v>23</v>
      </c>
      <c r="H6" s="19" t="s">
        <v>26</v>
      </c>
    </row>
    <row r="7" spans="1:8" ht="12">
      <c r="A7" s="12" t="s">
        <v>4</v>
      </c>
      <c r="B7" s="5"/>
      <c r="C7" s="5">
        <f>93925+59930+25287</f>
        <v>179142</v>
      </c>
      <c r="D7" s="5"/>
      <c r="E7" s="5"/>
      <c r="F7" s="5"/>
      <c r="G7" s="20">
        <f>SUM(B7:F7)</f>
        <v>179142</v>
      </c>
      <c r="H7" s="21">
        <f>G7/G18</f>
        <v>0.05716875188483405</v>
      </c>
    </row>
    <row r="8" spans="1:20" ht="12">
      <c r="A8" s="12" t="s">
        <v>5</v>
      </c>
      <c r="B8" s="5"/>
      <c r="C8" s="5"/>
      <c r="D8" s="5">
        <f>98378+71988+68575+62205+41600</f>
        <v>342746</v>
      </c>
      <c r="E8" s="5"/>
      <c r="F8" s="5"/>
      <c r="G8" s="20">
        <f aca="true" t="shared" si="0" ref="G8:G17">SUM(B8:F8)</f>
        <v>342746</v>
      </c>
      <c r="H8" s="21">
        <f>G8/G18</f>
        <v>0.10937893421709778</v>
      </c>
      <c r="K8" s="74" t="s">
        <v>15</v>
      </c>
      <c r="L8" s="74"/>
      <c r="M8" s="74" t="s">
        <v>16</v>
      </c>
      <c r="N8" s="74"/>
      <c r="O8" s="74" t="s">
        <v>59</v>
      </c>
      <c r="P8" s="74"/>
      <c r="Q8" s="74" t="s">
        <v>60</v>
      </c>
      <c r="R8" s="74"/>
      <c r="S8" s="74" t="s">
        <v>61</v>
      </c>
      <c r="T8" s="74"/>
    </row>
    <row r="9" spans="1:20" ht="12">
      <c r="A9" s="12" t="s">
        <v>33</v>
      </c>
      <c r="B9" s="5">
        <v>142683</v>
      </c>
      <c r="C9" s="5">
        <v>85800</v>
      </c>
      <c r="D9" s="5"/>
      <c r="E9" s="5">
        <v>557740</v>
      </c>
      <c r="F9" s="5"/>
      <c r="G9" s="20">
        <f t="shared" si="0"/>
        <v>786223</v>
      </c>
      <c r="H9" s="21">
        <f>G9/G18</f>
        <v>0.2509036831851262</v>
      </c>
      <c r="K9" s="58" t="s">
        <v>58</v>
      </c>
      <c r="L9" s="58" t="s">
        <v>57</v>
      </c>
      <c r="M9" s="58" t="s">
        <v>58</v>
      </c>
      <c r="N9" s="58" t="s">
        <v>57</v>
      </c>
      <c r="O9" s="58" t="s">
        <v>58</v>
      </c>
      <c r="P9" s="58" t="s">
        <v>57</v>
      </c>
      <c r="Q9" s="58" t="s">
        <v>58</v>
      </c>
      <c r="R9" s="58" t="s">
        <v>57</v>
      </c>
      <c r="S9" s="58" t="s">
        <v>58</v>
      </c>
      <c r="T9" s="58" t="s">
        <v>57</v>
      </c>
    </row>
    <row r="10" spans="1:20" ht="12">
      <c r="A10" s="12" t="s">
        <v>6</v>
      </c>
      <c r="B10" s="5">
        <v>90090</v>
      </c>
      <c r="C10" s="5">
        <v>0</v>
      </c>
      <c r="D10" s="5"/>
      <c r="E10" s="5">
        <v>55868</v>
      </c>
      <c r="F10" s="5"/>
      <c r="G10" s="20">
        <f t="shared" si="0"/>
        <v>145958</v>
      </c>
      <c r="H10" s="21">
        <f>G10/G18</f>
        <v>0.04657889656030751</v>
      </c>
      <c r="J10">
        <v>1</v>
      </c>
      <c r="K10" s="60">
        <v>-0.5</v>
      </c>
      <c r="L10" s="36">
        <v>-65910</v>
      </c>
      <c r="O10" s="36"/>
      <c r="P10" s="36"/>
      <c r="Q10" s="36"/>
      <c r="R10" s="36"/>
      <c r="S10" s="60">
        <v>0.5</v>
      </c>
      <c r="T10" s="36">
        <v>65910</v>
      </c>
    </row>
    <row r="11" spans="1:20" ht="12">
      <c r="A11" s="12" t="s">
        <v>7</v>
      </c>
      <c r="B11" s="5"/>
      <c r="C11" s="5"/>
      <c r="D11" s="5"/>
      <c r="E11" s="5"/>
      <c r="F11" s="5">
        <f>85800+72865</f>
        <v>158665</v>
      </c>
      <c r="G11" s="20">
        <f t="shared" si="0"/>
        <v>158665</v>
      </c>
      <c r="H11" s="21">
        <f>G11/G18</f>
        <v>0.05063402227175757</v>
      </c>
      <c r="J11">
        <v>2</v>
      </c>
      <c r="K11" s="59">
        <v>-1</v>
      </c>
      <c r="L11" s="36">
        <v>-98378</v>
      </c>
      <c r="M11" s="60">
        <v>1</v>
      </c>
      <c r="N11" s="36">
        <v>98378</v>
      </c>
      <c r="O11" s="59"/>
      <c r="P11" s="36"/>
      <c r="Q11" s="36"/>
      <c r="R11" s="36"/>
      <c r="S11" s="36"/>
      <c r="T11" s="36"/>
    </row>
    <row r="12" spans="1:20" ht="12">
      <c r="A12" s="12" t="s">
        <v>8</v>
      </c>
      <c r="B12" s="5">
        <v>169482</v>
      </c>
      <c r="C12" s="5">
        <v>37798</v>
      </c>
      <c r="D12" s="5">
        <v>153363</v>
      </c>
      <c r="E12" s="5">
        <v>161395</v>
      </c>
      <c r="F12" s="5">
        <v>77838</v>
      </c>
      <c r="G12" s="20">
        <f t="shared" si="0"/>
        <v>599876</v>
      </c>
      <c r="H12" s="21">
        <f>G12/G18</f>
        <v>0.19143563321648027</v>
      </c>
      <c r="J12">
        <v>3</v>
      </c>
      <c r="K12" s="59">
        <v>-1</v>
      </c>
      <c r="L12" s="36">
        <v>-142683</v>
      </c>
      <c r="O12" s="57"/>
      <c r="Q12" s="57"/>
      <c r="S12" s="36"/>
      <c r="T12" s="36"/>
    </row>
    <row r="13" spans="1:20" ht="12">
      <c r="A13" s="12" t="s">
        <v>9</v>
      </c>
      <c r="B13" s="5">
        <v>413496</v>
      </c>
      <c r="C13" s="5"/>
      <c r="D13" s="5"/>
      <c r="E13" s="5"/>
      <c r="F13" s="5"/>
      <c r="G13" s="20">
        <f t="shared" si="0"/>
        <v>413496</v>
      </c>
      <c r="H13" s="21">
        <f>G13/G18</f>
        <v>0.1319570521115726</v>
      </c>
      <c r="J13">
        <v>4</v>
      </c>
      <c r="K13" s="59"/>
      <c r="L13" s="36"/>
      <c r="M13" s="60">
        <v>-1</v>
      </c>
      <c r="N13" s="36">
        <v>-85800</v>
      </c>
      <c r="O13" s="59"/>
      <c r="P13" s="36"/>
      <c r="Q13" s="59">
        <v>1</v>
      </c>
      <c r="R13" s="36">
        <v>85800</v>
      </c>
      <c r="S13" s="36"/>
      <c r="T13" s="36"/>
    </row>
    <row r="14" spans="1:20" ht="12">
      <c r="A14" s="12" t="s">
        <v>10</v>
      </c>
      <c r="B14" s="5">
        <f>131820*0.7</f>
        <v>92274</v>
      </c>
      <c r="C14" s="5">
        <f>80925+131820*0.3</f>
        <v>120471</v>
      </c>
      <c r="D14" s="5"/>
      <c r="E14" s="5">
        <v>37768</v>
      </c>
      <c r="F14" s="5"/>
      <c r="G14" s="20">
        <f t="shared" si="0"/>
        <v>250513</v>
      </c>
      <c r="H14" s="21">
        <f>G14/G18</f>
        <v>0.07994504661623422</v>
      </c>
      <c r="J14">
        <v>5</v>
      </c>
      <c r="K14" s="59"/>
      <c r="L14" s="36"/>
      <c r="M14" s="60"/>
      <c r="N14" s="36"/>
      <c r="O14" s="59"/>
      <c r="P14" s="36"/>
      <c r="Q14" s="59"/>
      <c r="R14" s="36"/>
      <c r="S14" s="59">
        <v>-1</v>
      </c>
      <c r="T14" s="36">
        <v>-77838</v>
      </c>
    </row>
    <row r="15" spans="1:20" ht="12">
      <c r="A15" s="12" t="s">
        <v>14</v>
      </c>
      <c r="B15" s="5"/>
      <c r="C15" s="5">
        <v>76863</v>
      </c>
      <c r="D15" s="5"/>
      <c r="E15" s="5"/>
      <c r="F15" s="5"/>
      <c r="G15" s="20">
        <f t="shared" si="0"/>
        <v>76863</v>
      </c>
      <c r="H15" s="21">
        <f>G15/G18</f>
        <v>0.0245289311056257</v>
      </c>
      <c r="J15">
        <v>6</v>
      </c>
      <c r="K15" s="59">
        <v>-0.5</v>
      </c>
      <c r="L15" s="36">
        <v>-71342</v>
      </c>
      <c r="M15" s="60"/>
      <c r="N15" s="36"/>
      <c r="O15" s="59"/>
      <c r="P15" s="36"/>
      <c r="Q15" s="59">
        <v>0.5</v>
      </c>
      <c r="R15" s="36">
        <v>71342</v>
      </c>
      <c r="S15" s="59"/>
      <c r="T15" s="36"/>
    </row>
    <row r="16" spans="1:20" ht="12">
      <c r="A16" s="12" t="s">
        <v>11</v>
      </c>
      <c r="B16" s="5">
        <v>81705</v>
      </c>
      <c r="C16" s="5"/>
      <c r="D16" s="5"/>
      <c r="E16" s="5"/>
      <c r="F16" s="5"/>
      <c r="G16" s="20">
        <f t="shared" si="0"/>
        <v>81705</v>
      </c>
      <c r="H16" s="21">
        <f>G16/G18</f>
        <v>0.026074136008029193</v>
      </c>
      <c r="J16">
        <v>7</v>
      </c>
      <c r="K16" s="59">
        <v>-0.15</v>
      </c>
      <c r="L16" s="36">
        <v>-22029</v>
      </c>
      <c r="M16" s="60"/>
      <c r="N16" s="36"/>
      <c r="O16" s="59">
        <v>0.15</v>
      </c>
      <c r="P16" s="36">
        <v>22029</v>
      </c>
      <c r="Q16" s="59"/>
      <c r="R16" s="36"/>
      <c r="S16" s="59"/>
      <c r="T16" s="36"/>
    </row>
    <row r="17" spans="1:20" ht="12">
      <c r="A17" s="12" t="s">
        <v>12</v>
      </c>
      <c r="B17" s="5">
        <v>98378</v>
      </c>
      <c r="C17" s="5"/>
      <c r="D17" s="5"/>
      <c r="E17" s="5"/>
      <c r="F17" s="5"/>
      <c r="G17" s="20">
        <f t="shared" si="0"/>
        <v>98378</v>
      </c>
      <c r="H17" s="21">
        <f>G17/G18</f>
        <v>0.0313949128229349</v>
      </c>
      <c r="K17" s="62">
        <f>SUM(K10:K16)</f>
        <v>-3.15</v>
      </c>
      <c r="L17" s="63">
        <f aca="true" t="shared" si="1" ref="L17:T17">SUM(L10:L16)</f>
        <v>-400342</v>
      </c>
      <c r="M17" s="62">
        <f t="shared" si="1"/>
        <v>0</v>
      </c>
      <c r="N17" s="63">
        <f t="shared" si="1"/>
        <v>12578</v>
      </c>
      <c r="O17" s="62">
        <f t="shared" si="1"/>
        <v>0.15</v>
      </c>
      <c r="P17" s="63">
        <f t="shared" si="1"/>
        <v>22029</v>
      </c>
      <c r="Q17" s="62">
        <f t="shared" si="1"/>
        <v>1.5</v>
      </c>
      <c r="R17" s="63">
        <f t="shared" si="1"/>
        <v>157142</v>
      </c>
      <c r="S17" s="62">
        <f t="shared" si="1"/>
        <v>-0.5</v>
      </c>
      <c r="T17" s="63">
        <f t="shared" si="1"/>
        <v>-11928</v>
      </c>
    </row>
    <row r="18" spans="1:20" ht="12.75" thickBot="1">
      <c r="A18" s="15" t="s">
        <v>13</v>
      </c>
      <c r="B18" s="41">
        <f aca="true" t="shared" si="2" ref="B18:G18">SUM(B7:B17)</f>
        <v>1088108</v>
      </c>
      <c r="C18" s="41">
        <f>SUM(C7:C17)</f>
        <v>500074</v>
      </c>
      <c r="D18" s="41">
        <f t="shared" si="2"/>
        <v>496109</v>
      </c>
      <c r="E18" s="41">
        <f t="shared" si="2"/>
        <v>812771</v>
      </c>
      <c r="F18" s="41">
        <f t="shared" si="2"/>
        <v>236503</v>
      </c>
      <c r="G18" s="22">
        <f t="shared" si="2"/>
        <v>3133565</v>
      </c>
      <c r="H18" s="23">
        <v>1</v>
      </c>
      <c r="J18" t="s">
        <v>62</v>
      </c>
      <c r="K18" s="59"/>
      <c r="L18" s="36"/>
      <c r="M18" s="64"/>
      <c r="N18" s="63"/>
      <c r="O18" s="62"/>
      <c r="P18" s="63"/>
      <c r="Q18" s="62">
        <v>-0.54</v>
      </c>
      <c r="R18" s="63">
        <v>-32783</v>
      </c>
      <c r="S18" s="62"/>
      <c r="T18" s="63"/>
    </row>
    <row r="19" spans="1:20" ht="12">
      <c r="A19" s="12"/>
      <c r="B19" s="5"/>
      <c r="C19" s="5"/>
      <c r="D19" s="5"/>
      <c r="E19" s="5"/>
      <c r="F19" s="5"/>
      <c r="G19" s="5"/>
      <c r="H19" s="21"/>
      <c r="J19" t="s">
        <v>63</v>
      </c>
      <c r="M19" s="65"/>
      <c r="N19" s="65"/>
      <c r="O19" s="65"/>
      <c r="P19" s="65"/>
      <c r="Q19" s="66">
        <f>Q17+Q18</f>
        <v>0.96</v>
      </c>
      <c r="R19" s="67">
        <f>R17+R18</f>
        <v>124359</v>
      </c>
      <c r="S19" s="62"/>
      <c r="T19" s="63"/>
    </row>
    <row r="20" spans="1:20" ht="12.75" thickBot="1">
      <c r="A20" s="12"/>
      <c r="B20" s="3"/>
      <c r="C20" s="3"/>
      <c r="D20" s="3"/>
      <c r="E20" s="3"/>
      <c r="F20" s="3"/>
      <c r="G20" s="3"/>
      <c r="H20" s="10"/>
      <c r="K20" s="59"/>
      <c r="L20" s="36"/>
      <c r="M20" s="60"/>
      <c r="N20" s="36"/>
      <c r="O20" s="59"/>
      <c r="P20" s="36"/>
      <c r="Q20" s="59"/>
      <c r="R20" s="36"/>
      <c r="S20" s="59"/>
      <c r="T20" s="36"/>
    </row>
    <row r="21" spans="1:20" ht="12">
      <c r="A21" s="11" t="s">
        <v>22</v>
      </c>
      <c r="B21" s="1" t="s">
        <v>15</v>
      </c>
      <c r="C21" s="1" t="s">
        <v>16</v>
      </c>
      <c r="D21" s="1" t="s">
        <v>17</v>
      </c>
      <c r="E21" s="1" t="s">
        <v>18</v>
      </c>
      <c r="F21" s="1" t="s">
        <v>19</v>
      </c>
      <c r="G21" s="18" t="s">
        <v>23</v>
      </c>
      <c r="H21" s="19" t="s">
        <v>26</v>
      </c>
      <c r="K21" s="59"/>
      <c r="L21" s="36"/>
      <c r="M21" s="60"/>
      <c r="N21" s="36"/>
      <c r="O21" s="59"/>
      <c r="P21" s="36"/>
      <c r="Q21" s="59"/>
      <c r="R21" s="36"/>
      <c r="S21" s="59"/>
      <c r="T21" s="36"/>
    </row>
    <row r="22" spans="1:20" ht="12">
      <c r="A22" s="12" t="s">
        <v>4</v>
      </c>
      <c r="B22" s="5"/>
      <c r="C22" s="5">
        <f>93925+59930+25287</f>
        <v>179142</v>
      </c>
      <c r="D22" s="5"/>
      <c r="E22" s="5"/>
      <c r="F22" s="5"/>
      <c r="G22" s="20">
        <f>SUM(B22:F22)</f>
        <v>179142</v>
      </c>
      <c r="H22" s="21">
        <f>G22/G33</f>
        <v>0.06219644678034386</v>
      </c>
      <c r="J22" t="s">
        <v>64</v>
      </c>
      <c r="K22" s="62">
        <f aca="true" t="shared" si="3" ref="K22:P22">K17</f>
        <v>-3.15</v>
      </c>
      <c r="L22" s="63">
        <f t="shared" si="3"/>
        <v>-400342</v>
      </c>
      <c r="M22" s="64">
        <f t="shared" si="3"/>
        <v>0</v>
      </c>
      <c r="N22" s="63">
        <f t="shared" si="3"/>
        <v>12578</v>
      </c>
      <c r="O22" s="64">
        <f t="shared" si="3"/>
        <v>0.15</v>
      </c>
      <c r="P22" s="63">
        <f t="shared" si="3"/>
        <v>22029</v>
      </c>
      <c r="Q22" s="62">
        <f>+Q19</f>
        <v>0.96</v>
      </c>
      <c r="R22" s="63">
        <f>+R19</f>
        <v>124359</v>
      </c>
      <c r="S22" s="62">
        <f>S17</f>
        <v>-0.5</v>
      </c>
      <c r="T22" s="63">
        <f>T17</f>
        <v>-11928</v>
      </c>
    </row>
    <row r="23" spans="1:20" ht="12">
      <c r="A23" s="12" t="s">
        <v>5</v>
      </c>
      <c r="B23" s="5"/>
      <c r="C23" s="5"/>
      <c r="D23" s="5">
        <f>98378+71988+68575+62205+41600</f>
        <v>342746</v>
      </c>
      <c r="E23" s="5"/>
      <c r="F23" s="5"/>
      <c r="G23" s="20">
        <f aca="true" t="shared" si="4" ref="G23:G31">SUM(B23:F23)</f>
        <v>342746</v>
      </c>
      <c r="H23" s="21">
        <f>G23/G33</f>
        <v>0.11899824356195497</v>
      </c>
      <c r="K23" s="59"/>
      <c r="L23" s="36"/>
      <c r="M23" s="60"/>
      <c r="N23" s="36"/>
      <c r="O23" s="59"/>
      <c r="P23" s="36"/>
      <c r="Q23" s="59"/>
      <c r="R23" s="36"/>
      <c r="S23" s="36"/>
      <c r="T23" s="36"/>
    </row>
    <row r="24" spans="1:20" ht="12">
      <c r="A24" s="12" t="s">
        <v>33</v>
      </c>
      <c r="B24" s="5">
        <v>71341</v>
      </c>
      <c r="C24" s="5">
        <v>0</v>
      </c>
      <c r="D24" s="5"/>
      <c r="E24" s="5">
        <f>111085+85800+64350+71988+65293+126441+85800+71342</f>
        <v>682099</v>
      </c>
      <c r="F24" s="5"/>
      <c r="G24" s="20">
        <f t="shared" si="4"/>
        <v>753440</v>
      </c>
      <c r="H24" s="21">
        <f>G24/G33</f>
        <v>0.26158740475255543</v>
      </c>
      <c r="K24" s="59"/>
      <c r="L24" s="36"/>
      <c r="M24" s="60"/>
      <c r="N24" s="36"/>
      <c r="O24" s="59"/>
      <c r="P24" s="36"/>
      <c r="Q24" s="59"/>
      <c r="R24" s="36"/>
      <c r="S24" s="36"/>
      <c r="T24" s="36"/>
    </row>
    <row r="25" spans="1:20" ht="12">
      <c r="A25" s="12" t="s">
        <v>6</v>
      </c>
      <c r="B25" s="5">
        <v>90090</v>
      </c>
      <c r="C25" s="5">
        <v>0</v>
      </c>
      <c r="D25" s="5"/>
      <c r="E25" s="5">
        <v>55868</v>
      </c>
      <c r="F25" s="5"/>
      <c r="G25" s="20">
        <f t="shared" si="4"/>
        <v>145958</v>
      </c>
      <c r="H25" s="21">
        <f>G25/G33</f>
        <v>0.050675268664888355</v>
      </c>
      <c r="K25" s="59"/>
      <c r="L25" s="36"/>
      <c r="M25" s="60"/>
      <c r="N25" s="36"/>
      <c r="O25" s="59"/>
      <c r="P25" s="36"/>
      <c r="Q25" s="59"/>
      <c r="R25" s="36"/>
      <c r="S25" s="36"/>
      <c r="T25" s="36"/>
    </row>
    <row r="26" spans="1:20" ht="12">
      <c r="A26" s="12" t="s">
        <v>7</v>
      </c>
      <c r="B26" s="5"/>
      <c r="C26" s="5"/>
      <c r="D26" s="5"/>
      <c r="E26" s="5"/>
      <c r="F26" s="5">
        <f>85800+72865</f>
        <v>158665</v>
      </c>
      <c r="G26" s="20">
        <f t="shared" si="4"/>
        <v>158665</v>
      </c>
      <c r="H26" s="21">
        <f>G26/G33</f>
        <v>0.05508702162755389</v>
      </c>
      <c r="K26" s="59"/>
      <c r="L26" s="36"/>
      <c r="M26" s="60"/>
      <c r="N26" s="36"/>
      <c r="O26" s="59"/>
      <c r="P26" s="36"/>
      <c r="Q26" s="59"/>
      <c r="R26" s="36"/>
      <c r="S26" s="36"/>
      <c r="T26" s="36"/>
    </row>
    <row r="27" spans="1:20" ht="12">
      <c r="A27" s="12" t="s">
        <v>8</v>
      </c>
      <c r="B27" s="5">
        <f>103572-22029</f>
        <v>81543</v>
      </c>
      <c r="C27" s="5">
        <v>37798</v>
      </c>
      <c r="D27" s="5">
        <f>153363+22029</f>
        <v>175392</v>
      </c>
      <c r="E27" s="5">
        <v>161395</v>
      </c>
      <c r="F27" s="5">
        <v>65910</v>
      </c>
      <c r="G27" s="20">
        <f t="shared" si="4"/>
        <v>522038</v>
      </c>
      <c r="H27" s="21">
        <f>G27/G33</f>
        <v>0.1812467689560078</v>
      </c>
      <c r="K27" s="36"/>
      <c r="L27" s="36"/>
      <c r="M27" s="60"/>
      <c r="N27" s="36"/>
      <c r="O27" s="59"/>
      <c r="P27" s="36"/>
      <c r="Q27" s="59"/>
      <c r="R27" s="36"/>
      <c r="S27" s="36"/>
      <c r="T27" s="36"/>
    </row>
    <row r="28" spans="1:20" ht="12">
      <c r="A28" s="12" t="s">
        <v>9</v>
      </c>
      <c r="B28" s="5">
        <f>178480+92333</f>
        <v>270813</v>
      </c>
      <c r="C28" s="5"/>
      <c r="D28" s="5"/>
      <c r="E28" s="5"/>
      <c r="F28" s="5"/>
      <c r="G28" s="20">
        <f t="shared" si="4"/>
        <v>270813</v>
      </c>
      <c r="H28" s="21">
        <f>G28/G33</f>
        <v>0.09402377076244132</v>
      </c>
      <c r="K28" s="36"/>
      <c r="L28" s="36"/>
      <c r="M28" s="60"/>
      <c r="N28" s="36"/>
      <c r="O28" s="36"/>
      <c r="P28" s="36"/>
      <c r="Q28" s="59"/>
      <c r="R28" s="36"/>
      <c r="S28" s="36"/>
      <c r="T28" s="36"/>
    </row>
    <row r="29" spans="1:17" ht="12">
      <c r="A29" s="12" t="s">
        <v>10</v>
      </c>
      <c r="B29" s="5">
        <f>131820*0.7</f>
        <v>92274</v>
      </c>
      <c r="C29" s="5">
        <f>80925+131820*0.3</f>
        <v>120471</v>
      </c>
      <c r="D29" s="5"/>
      <c r="E29" s="5">
        <v>37768</v>
      </c>
      <c r="F29" s="5"/>
      <c r="G29" s="20">
        <f t="shared" si="4"/>
        <v>250513</v>
      </c>
      <c r="H29" s="21">
        <f>G29/G33</f>
        <v>0.08697579837382793</v>
      </c>
      <c r="M29" s="61"/>
      <c r="Q29" s="57"/>
    </row>
    <row r="30" spans="1:17" ht="12">
      <c r="A30" s="12" t="s">
        <v>14</v>
      </c>
      <c r="B30" s="5"/>
      <c r="C30" s="5">
        <v>76863</v>
      </c>
      <c r="D30" s="5"/>
      <c r="E30" s="5"/>
      <c r="F30" s="5"/>
      <c r="G30" s="20">
        <f t="shared" si="4"/>
        <v>76863</v>
      </c>
      <c r="H30" s="21">
        <f>G30/G33</f>
        <v>0.026686123236748335</v>
      </c>
      <c r="M30" s="61"/>
      <c r="Q30" s="57"/>
    </row>
    <row r="31" spans="1:17" ht="12">
      <c r="A31" s="12" t="s">
        <v>11</v>
      </c>
      <c r="B31" s="5">
        <v>81705</v>
      </c>
      <c r="C31" s="5"/>
      <c r="D31" s="5"/>
      <c r="E31" s="5"/>
      <c r="F31" s="5"/>
      <c r="G31" s="20">
        <f t="shared" si="4"/>
        <v>81705</v>
      </c>
      <c r="H31" s="21">
        <f>G31/G33</f>
        <v>0.028367220887273756</v>
      </c>
      <c r="M31" s="61"/>
      <c r="Q31" s="57"/>
    </row>
    <row r="32" spans="1:17" ht="12">
      <c r="A32" s="12" t="s">
        <v>12</v>
      </c>
      <c r="B32" s="3"/>
      <c r="C32" s="5">
        <v>98378</v>
      </c>
      <c r="D32" s="5"/>
      <c r="E32" s="5"/>
      <c r="F32" s="5"/>
      <c r="G32" s="20">
        <f>SUM(C32:F32)</f>
        <v>98378</v>
      </c>
      <c r="H32" s="21">
        <f>G32/G33-0.0001</f>
        <v>0.03405593239640435</v>
      </c>
      <c r="M32" s="61"/>
      <c r="Q32" s="57"/>
    </row>
    <row r="33" spans="1:17" ht="12.75" thickBot="1">
      <c r="A33" s="12" t="s">
        <v>13</v>
      </c>
      <c r="B33" s="2">
        <f aca="true" t="shared" si="5" ref="B33:G33">SUM(B22:B32)</f>
        <v>687766</v>
      </c>
      <c r="C33" s="2">
        <f t="shared" si="5"/>
        <v>512652</v>
      </c>
      <c r="D33" s="2">
        <f t="shared" si="5"/>
        <v>518138</v>
      </c>
      <c r="E33" s="2">
        <f t="shared" si="5"/>
        <v>937130</v>
      </c>
      <c r="F33" s="2">
        <f t="shared" si="5"/>
        <v>224575</v>
      </c>
      <c r="G33" s="22">
        <f t="shared" si="5"/>
        <v>2880261</v>
      </c>
      <c r="H33" s="23">
        <v>1</v>
      </c>
      <c r="M33" s="61"/>
      <c r="Q33" s="57"/>
    </row>
    <row r="34" spans="1:17" ht="12">
      <c r="A34" s="12"/>
      <c r="B34" s="5"/>
      <c r="C34" s="5"/>
      <c r="D34" s="5"/>
      <c r="E34" s="5"/>
      <c r="F34" s="5"/>
      <c r="G34" s="5"/>
      <c r="H34" s="21"/>
      <c r="M34" s="61"/>
      <c r="Q34" s="57"/>
    </row>
    <row r="35" spans="1:17" ht="12">
      <c r="A35" s="12"/>
      <c r="B35" s="5"/>
      <c r="C35" s="5"/>
      <c r="D35" s="5"/>
      <c r="E35" s="5"/>
      <c r="F35" s="5"/>
      <c r="G35" s="5"/>
      <c r="H35" s="14"/>
      <c r="M35" s="61"/>
      <c r="Q35" s="57"/>
    </row>
    <row r="36" spans="1:8" ht="12">
      <c r="A36" s="12" t="s">
        <v>24</v>
      </c>
      <c r="B36" s="2">
        <f>B18</f>
        <v>1088108</v>
      </c>
      <c r="C36" s="2">
        <f>C18</f>
        <v>500074</v>
      </c>
      <c r="D36" s="2">
        <f>D18</f>
        <v>496109</v>
      </c>
      <c r="E36" s="2">
        <f>E18</f>
        <v>812771</v>
      </c>
      <c r="F36" s="2">
        <f>F18</f>
        <v>236503</v>
      </c>
      <c r="G36" s="2">
        <f>SUM(B36:F36)</f>
        <v>3133565</v>
      </c>
      <c r="H36" s="13"/>
    </row>
    <row r="37" spans="1:8" ht="12">
      <c r="A37" s="12"/>
      <c r="B37" s="5"/>
      <c r="C37" s="5"/>
      <c r="D37" s="5"/>
      <c r="E37" s="5"/>
      <c r="F37" s="5"/>
      <c r="G37" s="5"/>
      <c r="H37" s="14"/>
    </row>
    <row r="38" spans="1:8" ht="12">
      <c r="A38" s="12" t="s">
        <v>25</v>
      </c>
      <c r="B38" s="2">
        <f>B33-B36</f>
        <v>-400342</v>
      </c>
      <c r="C38" s="2">
        <f>C33-C36</f>
        <v>12578</v>
      </c>
      <c r="D38" s="2">
        <f>D33-D36</f>
        <v>22029</v>
      </c>
      <c r="E38" s="2">
        <f>E33-E36</f>
        <v>124359</v>
      </c>
      <c r="F38" s="2">
        <f>F33-F36</f>
        <v>-11928</v>
      </c>
      <c r="G38" s="2">
        <f>SUM(B38:F38)</f>
        <v>-253304</v>
      </c>
      <c r="H38" s="13"/>
    </row>
    <row r="39" spans="1:8" ht="12">
      <c r="A39" s="12"/>
      <c r="B39" s="5"/>
      <c r="C39" s="5"/>
      <c r="D39" s="5"/>
      <c r="E39" s="5"/>
      <c r="F39" s="5"/>
      <c r="G39" s="5"/>
      <c r="H39" s="14"/>
    </row>
    <row r="40" spans="1:8" ht="12">
      <c r="A40" s="12" t="s">
        <v>27</v>
      </c>
      <c r="B40" s="17">
        <f aca="true" t="shared" si="6" ref="B40:G40">B38/B36</f>
        <v>-0.3679248751043095</v>
      </c>
      <c r="C40" s="17">
        <f t="shared" si="6"/>
        <v>0.025152277462935486</v>
      </c>
      <c r="D40" s="17">
        <f t="shared" si="6"/>
        <v>0.04440354841375585</v>
      </c>
      <c r="E40" s="17">
        <f t="shared" si="6"/>
        <v>0.15300619731757162</v>
      </c>
      <c r="F40" s="17">
        <f t="shared" si="6"/>
        <v>-0.050434878204504804</v>
      </c>
      <c r="G40" s="17">
        <f t="shared" si="6"/>
        <v>-0.08083572544370389</v>
      </c>
      <c r="H40" s="13"/>
    </row>
    <row r="41" spans="1:8" ht="12.75" thickBot="1">
      <c r="A41" s="15"/>
      <c r="B41" s="26"/>
      <c r="C41" s="26"/>
      <c r="D41" s="26"/>
      <c r="E41" s="26"/>
      <c r="F41" s="26"/>
      <c r="G41" s="26"/>
      <c r="H41" s="27"/>
    </row>
    <row r="44" ht="12.75" thickBot="1"/>
    <row r="45" spans="5:8" ht="12.75" thickBot="1">
      <c r="E45" s="39" t="s">
        <v>41</v>
      </c>
      <c r="F45" s="44"/>
      <c r="G45" s="44"/>
      <c r="H45" s="40"/>
    </row>
    <row r="46" spans="1:8" ht="12">
      <c r="A46" s="6" t="s">
        <v>20</v>
      </c>
      <c r="B46" s="7"/>
      <c r="C46" s="7"/>
      <c r="D46" s="7"/>
      <c r="E46" s="7"/>
      <c r="F46" s="7"/>
      <c r="G46" s="7"/>
      <c r="H46" s="8"/>
    </row>
    <row r="47" spans="1:8" ht="12">
      <c r="A47" s="9" t="s">
        <v>21</v>
      </c>
      <c r="B47" s="3"/>
      <c r="C47" s="3"/>
      <c r="D47" s="3"/>
      <c r="E47" s="3"/>
      <c r="F47" s="3"/>
      <c r="G47" s="3"/>
      <c r="H47" s="10"/>
    </row>
    <row r="48" spans="1:8" ht="12.75" thickBot="1">
      <c r="A48" s="9" t="s">
        <v>34</v>
      </c>
      <c r="B48" s="3"/>
      <c r="C48" s="3"/>
      <c r="D48" s="3"/>
      <c r="E48" s="3"/>
      <c r="F48" s="3"/>
      <c r="G48" s="3"/>
      <c r="H48" s="10"/>
    </row>
    <row r="49" spans="1:8" ht="12">
      <c r="A49" s="11" t="s">
        <v>22</v>
      </c>
      <c r="B49" s="1" t="s">
        <v>15</v>
      </c>
      <c r="C49" s="1" t="s">
        <v>16</v>
      </c>
      <c r="D49" s="1" t="s">
        <v>17</v>
      </c>
      <c r="E49" s="1" t="s">
        <v>18</v>
      </c>
      <c r="F49" s="1" t="s">
        <v>19</v>
      </c>
      <c r="G49" s="18" t="s">
        <v>23</v>
      </c>
      <c r="H49" s="19" t="s">
        <v>26</v>
      </c>
    </row>
    <row r="50" spans="1:8" ht="12">
      <c r="A50" s="12" t="s">
        <v>4</v>
      </c>
      <c r="B50" s="16"/>
      <c r="C50" s="16">
        <v>2.5</v>
      </c>
      <c r="D50" s="16"/>
      <c r="E50" s="16"/>
      <c r="F50" s="16"/>
      <c r="G50" s="24">
        <f>SUM(B50:F50)</f>
        <v>2.5</v>
      </c>
      <c r="H50" s="21">
        <f>G50/G61</f>
        <v>0.07028394714647175</v>
      </c>
    </row>
    <row r="51" spans="1:8" ht="12">
      <c r="A51" s="12" t="s">
        <v>5</v>
      </c>
      <c r="B51" s="16"/>
      <c r="C51" s="16"/>
      <c r="D51" s="16">
        <v>5</v>
      </c>
      <c r="E51" s="16"/>
      <c r="F51" s="16"/>
      <c r="G51" s="24">
        <f aca="true" t="shared" si="7" ref="G51:G60">SUM(B51:F51)</f>
        <v>5</v>
      </c>
      <c r="H51" s="21">
        <f>G51/G61</f>
        <v>0.1405678942929435</v>
      </c>
    </row>
    <row r="52" spans="1:8" ht="12">
      <c r="A52" s="12" t="s">
        <v>33</v>
      </c>
      <c r="B52" s="16">
        <v>1</v>
      </c>
      <c r="C52" s="16">
        <v>1</v>
      </c>
      <c r="D52" s="16"/>
      <c r="E52" s="16">
        <v>7.31</v>
      </c>
      <c r="F52" s="16"/>
      <c r="G52" s="24">
        <f t="shared" si="7"/>
        <v>9.309999999999999</v>
      </c>
      <c r="H52" s="21">
        <f>G52/G61</f>
        <v>0.2617374191734607</v>
      </c>
    </row>
    <row r="53" spans="1:8" ht="12">
      <c r="A53" s="12" t="s">
        <v>6</v>
      </c>
      <c r="B53" s="16">
        <v>1</v>
      </c>
      <c r="C53" s="16">
        <v>0</v>
      </c>
      <c r="D53" s="16"/>
      <c r="E53" s="16">
        <v>1</v>
      </c>
      <c r="F53" s="16"/>
      <c r="G53" s="24">
        <f t="shared" si="7"/>
        <v>2</v>
      </c>
      <c r="H53" s="21">
        <f>G53/G61</f>
        <v>0.056227157717177394</v>
      </c>
    </row>
    <row r="54" spans="1:8" ht="12">
      <c r="A54" s="12" t="s">
        <v>7</v>
      </c>
      <c r="B54" s="16"/>
      <c r="C54" s="16"/>
      <c r="D54" s="16"/>
      <c r="E54" s="16"/>
      <c r="F54" s="16">
        <v>2</v>
      </c>
      <c r="G54" s="24">
        <f t="shared" si="7"/>
        <v>2</v>
      </c>
      <c r="H54" s="21">
        <f>G54/G61</f>
        <v>0.056227157717177394</v>
      </c>
    </row>
    <row r="55" spans="1:8" ht="12">
      <c r="A55" s="12" t="s">
        <v>8</v>
      </c>
      <c r="B55" s="16">
        <v>1.18</v>
      </c>
      <c r="C55" s="16">
        <v>0.5</v>
      </c>
      <c r="D55" s="16">
        <v>1.32</v>
      </c>
      <c r="E55" s="16">
        <v>2</v>
      </c>
      <c r="F55" s="16">
        <v>1</v>
      </c>
      <c r="G55" s="24">
        <f t="shared" si="7"/>
        <v>6</v>
      </c>
      <c r="H55" s="21">
        <f>G55/G61</f>
        <v>0.1686814731515322</v>
      </c>
    </row>
    <row r="56" spans="1:8" ht="12">
      <c r="A56" s="12" t="s">
        <v>9</v>
      </c>
      <c r="B56" s="16">
        <v>3</v>
      </c>
      <c r="C56" s="16"/>
      <c r="D56" s="16"/>
      <c r="E56" s="16"/>
      <c r="F56" s="16"/>
      <c r="G56" s="24">
        <f t="shared" si="7"/>
        <v>3</v>
      </c>
      <c r="H56" s="21">
        <f>G56/G61</f>
        <v>0.0843407365757661</v>
      </c>
    </row>
    <row r="57" spans="1:8" ht="12">
      <c r="A57" s="12" t="s">
        <v>10</v>
      </c>
      <c r="B57" s="16">
        <v>0.7</v>
      </c>
      <c r="C57" s="16">
        <v>1.3</v>
      </c>
      <c r="D57" s="16"/>
      <c r="E57" s="16">
        <v>0.76</v>
      </c>
      <c r="F57" s="16"/>
      <c r="G57" s="24">
        <f t="shared" si="7"/>
        <v>2.76</v>
      </c>
      <c r="H57" s="21">
        <f>G57/G61</f>
        <v>0.0775934776497048</v>
      </c>
    </row>
    <row r="58" spans="1:8" ht="12">
      <c r="A58" s="12" t="s">
        <v>14</v>
      </c>
      <c r="B58" s="16"/>
      <c r="C58" s="16">
        <v>1</v>
      </c>
      <c r="D58" s="16"/>
      <c r="E58" s="16"/>
      <c r="F58" s="16"/>
      <c r="G58" s="24">
        <f t="shared" si="7"/>
        <v>1</v>
      </c>
      <c r="H58" s="21">
        <f>G58/G61</f>
        <v>0.028113578858588697</v>
      </c>
    </row>
    <row r="59" spans="1:8" ht="12">
      <c r="A59" s="12" t="s">
        <v>11</v>
      </c>
      <c r="B59" s="16">
        <v>1</v>
      </c>
      <c r="C59" s="16"/>
      <c r="D59" s="16"/>
      <c r="E59" s="16"/>
      <c r="F59" s="16"/>
      <c r="G59" s="24">
        <f t="shared" si="7"/>
        <v>1</v>
      </c>
      <c r="H59" s="21">
        <f>G59/G61</f>
        <v>0.028113578858588697</v>
      </c>
    </row>
    <row r="60" spans="1:8" ht="12">
      <c r="A60" s="12" t="s">
        <v>12</v>
      </c>
      <c r="B60" s="16">
        <v>1</v>
      </c>
      <c r="C60" s="16"/>
      <c r="D60" s="16"/>
      <c r="E60" s="16"/>
      <c r="F60" s="16"/>
      <c r="G60" s="24">
        <f t="shared" si="7"/>
        <v>1</v>
      </c>
      <c r="H60" s="21">
        <f>G60/G61-0.0001</f>
        <v>0.028013578858588697</v>
      </c>
    </row>
    <row r="61" spans="1:8" ht="12.75" thickBot="1">
      <c r="A61" s="12" t="s">
        <v>13</v>
      </c>
      <c r="B61" s="4">
        <f aca="true" t="shared" si="8" ref="B61:G61">SUM(B50:B60)</f>
        <v>8.879999999999999</v>
      </c>
      <c r="C61" s="4">
        <f>SUM(C50:C60)</f>
        <v>6.3</v>
      </c>
      <c r="D61" s="4">
        <f t="shared" si="8"/>
        <v>6.32</v>
      </c>
      <c r="E61" s="4">
        <f t="shared" si="8"/>
        <v>11.069999999999999</v>
      </c>
      <c r="F61" s="4">
        <f t="shared" si="8"/>
        <v>3</v>
      </c>
      <c r="G61" s="25">
        <f t="shared" si="8"/>
        <v>35.57</v>
      </c>
      <c r="H61" s="23">
        <v>1</v>
      </c>
    </row>
    <row r="62" spans="1:8" ht="12.75" thickBot="1">
      <c r="A62" s="15"/>
      <c r="B62" s="26"/>
      <c r="C62" s="26"/>
      <c r="D62" s="26"/>
      <c r="E62" s="26"/>
      <c r="F62" s="26"/>
      <c r="G62" s="26"/>
      <c r="H62" s="27"/>
    </row>
    <row r="63" spans="1:8" ht="12">
      <c r="A63" s="12"/>
      <c r="B63" s="3"/>
      <c r="C63" s="3"/>
      <c r="D63" s="3"/>
      <c r="E63" s="3"/>
      <c r="F63" s="3"/>
      <c r="G63" s="3"/>
      <c r="H63" s="10"/>
    </row>
    <row r="64" spans="1:8" ht="12">
      <c r="A64" s="12"/>
      <c r="B64" s="3"/>
      <c r="C64" s="3"/>
      <c r="D64" s="3"/>
      <c r="E64" s="3"/>
      <c r="F64" s="3"/>
      <c r="G64" s="3"/>
      <c r="H64" s="10"/>
    </row>
    <row r="65" spans="1:8" ht="12.75" thickBot="1">
      <c r="A65" s="9" t="s">
        <v>35</v>
      </c>
      <c r="B65" s="3"/>
      <c r="C65" s="3"/>
      <c r="D65" s="3"/>
      <c r="E65" s="3"/>
      <c r="F65" s="33"/>
      <c r="G65" s="3"/>
      <c r="H65" s="10"/>
    </row>
    <row r="66" spans="1:8" ht="12">
      <c r="A66" s="28" t="s">
        <v>22</v>
      </c>
      <c r="B66" s="29" t="s">
        <v>15</v>
      </c>
      <c r="C66" s="29" t="s">
        <v>16</v>
      </c>
      <c r="D66" s="29" t="s">
        <v>17</v>
      </c>
      <c r="E66" s="29" t="s">
        <v>18</v>
      </c>
      <c r="F66" s="29" t="s">
        <v>19</v>
      </c>
      <c r="G66" s="18" t="s">
        <v>23</v>
      </c>
      <c r="H66" s="19" t="s">
        <v>26</v>
      </c>
    </row>
    <row r="67" spans="1:8" ht="12">
      <c r="A67" s="12" t="s">
        <v>4</v>
      </c>
      <c r="B67" s="16"/>
      <c r="C67" s="16">
        <v>2.5</v>
      </c>
      <c r="D67" s="16"/>
      <c r="E67" s="16"/>
      <c r="F67" s="16"/>
      <c r="G67" s="24">
        <f>SUM(B67:F67)</f>
        <v>2.5</v>
      </c>
      <c r="H67" s="21">
        <f>G67/G78</f>
        <v>0.07568876778686043</v>
      </c>
    </row>
    <row r="68" spans="1:8" ht="12">
      <c r="A68" s="12" t="s">
        <v>5</v>
      </c>
      <c r="B68" s="16"/>
      <c r="C68" s="16"/>
      <c r="D68" s="16">
        <v>5</v>
      </c>
      <c r="E68" s="16"/>
      <c r="F68" s="16"/>
      <c r="G68" s="24">
        <f aca="true" t="shared" si="9" ref="G68:G77">SUM(B68:F68)</f>
        <v>5</v>
      </c>
      <c r="H68" s="21">
        <f>G68/G78</f>
        <v>0.15137753557372086</v>
      </c>
    </row>
    <row r="69" spans="1:8" ht="12">
      <c r="A69" s="12" t="s">
        <v>33</v>
      </c>
      <c r="B69" s="16">
        <f>1-0.5</f>
        <v>0.5</v>
      </c>
      <c r="C69" s="16">
        <f>1-1</f>
        <v>0</v>
      </c>
      <c r="D69" s="16"/>
      <c r="E69" s="16">
        <f>7.31+1+0.5-0.54</f>
        <v>8.27</v>
      </c>
      <c r="F69" s="16"/>
      <c r="G69" s="24">
        <f t="shared" si="9"/>
        <v>8.77</v>
      </c>
      <c r="H69" s="21">
        <f>G69/G78</f>
        <v>0.2655161973963064</v>
      </c>
    </row>
    <row r="70" spans="1:8" ht="12">
      <c r="A70" s="12" t="s">
        <v>6</v>
      </c>
      <c r="B70" s="16">
        <v>1</v>
      </c>
      <c r="C70" s="16">
        <v>0</v>
      </c>
      <c r="D70" s="16"/>
      <c r="E70" s="16">
        <v>1</v>
      </c>
      <c r="F70" s="16"/>
      <c r="G70" s="24">
        <f t="shared" si="9"/>
        <v>2</v>
      </c>
      <c r="H70" s="21">
        <f>G70/G78</f>
        <v>0.060551014229488345</v>
      </c>
    </row>
    <row r="71" spans="1:8" ht="12">
      <c r="A71" s="12" t="s">
        <v>7</v>
      </c>
      <c r="B71" s="16"/>
      <c r="C71" s="16"/>
      <c r="D71" s="16"/>
      <c r="E71" s="16"/>
      <c r="F71" s="16">
        <v>2</v>
      </c>
      <c r="G71" s="24">
        <f t="shared" si="9"/>
        <v>2</v>
      </c>
      <c r="H71" s="21">
        <f>G71/G78</f>
        <v>0.060551014229488345</v>
      </c>
    </row>
    <row r="72" spans="1:8" ht="12">
      <c r="A72" s="12" t="s">
        <v>8</v>
      </c>
      <c r="B72" s="16">
        <f>1.18-0.5-0.15</f>
        <v>0.5299999999999999</v>
      </c>
      <c r="C72" s="16">
        <v>0.5</v>
      </c>
      <c r="D72" s="16">
        <f>1.32+0.15</f>
        <v>1.47</v>
      </c>
      <c r="E72" s="16">
        <v>2</v>
      </c>
      <c r="F72" s="16">
        <f>1+0.5-1</f>
        <v>0.5</v>
      </c>
      <c r="G72" s="24">
        <f t="shared" si="9"/>
        <v>5</v>
      </c>
      <c r="H72" s="21">
        <f>G72/G78</f>
        <v>0.15137753557372086</v>
      </c>
    </row>
    <row r="73" spans="1:8" ht="12">
      <c r="A73" s="12" t="s">
        <v>9</v>
      </c>
      <c r="B73" s="16">
        <f>3-1</f>
        <v>2</v>
      </c>
      <c r="C73" s="16"/>
      <c r="D73" s="16"/>
      <c r="E73" s="16"/>
      <c r="F73" s="16"/>
      <c r="G73" s="24">
        <f t="shared" si="9"/>
        <v>2</v>
      </c>
      <c r="H73" s="21">
        <f>G73/G78</f>
        <v>0.060551014229488345</v>
      </c>
    </row>
    <row r="74" spans="1:8" ht="12">
      <c r="A74" s="12" t="s">
        <v>10</v>
      </c>
      <c r="B74" s="16">
        <v>0.7</v>
      </c>
      <c r="C74" s="16">
        <v>1.3</v>
      </c>
      <c r="D74" s="16"/>
      <c r="E74" s="16">
        <v>0.76</v>
      </c>
      <c r="F74" s="16"/>
      <c r="G74" s="24">
        <f t="shared" si="9"/>
        <v>2.76</v>
      </c>
      <c r="H74" s="21">
        <f>G74/G78</f>
        <v>0.0835603996366939</v>
      </c>
    </row>
    <row r="75" spans="1:8" ht="12">
      <c r="A75" s="12" t="s">
        <v>14</v>
      </c>
      <c r="B75" s="16"/>
      <c r="C75" s="16">
        <v>1</v>
      </c>
      <c r="D75" s="16"/>
      <c r="E75" s="16"/>
      <c r="F75" s="16"/>
      <c r="G75" s="24">
        <f t="shared" si="9"/>
        <v>1</v>
      </c>
      <c r="H75" s="21">
        <f>G75/G78</f>
        <v>0.030275507114744173</v>
      </c>
    </row>
    <row r="76" spans="1:8" ht="12">
      <c r="A76" s="12" t="s">
        <v>11</v>
      </c>
      <c r="B76" s="16">
        <v>1</v>
      </c>
      <c r="C76" s="16"/>
      <c r="D76" s="16"/>
      <c r="E76" s="16"/>
      <c r="F76" s="16"/>
      <c r="G76" s="24">
        <f t="shared" si="9"/>
        <v>1</v>
      </c>
      <c r="H76" s="21">
        <f>G76/G78</f>
        <v>0.030275507114744173</v>
      </c>
    </row>
    <row r="77" spans="1:8" ht="12">
      <c r="A77" s="12" t="s">
        <v>12</v>
      </c>
      <c r="B77" s="16">
        <v>0</v>
      </c>
      <c r="C77" s="16">
        <v>1</v>
      </c>
      <c r="D77" s="16"/>
      <c r="E77" s="16"/>
      <c r="F77" s="16"/>
      <c r="G77" s="24">
        <f t="shared" si="9"/>
        <v>1</v>
      </c>
      <c r="H77" s="21">
        <f>G77/G78</f>
        <v>0.030275507114744173</v>
      </c>
    </row>
    <row r="78" spans="1:8" ht="12.75" thickBot="1">
      <c r="A78" s="30" t="s">
        <v>13</v>
      </c>
      <c r="B78" s="4">
        <f aca="true" t="shared" si="10" ref="B78:G78">SUM(B67:B77)</f>
        <v>5.7299999999999995</v>
      </c>
      <c r="C78" s="4">
        <f t="shared" si="10"/>
        <v>6.3</v>
      </c>
      <c r="D78" s="4">
        <f t="shared" si="10"/>
        <v>6.47</v>
      </c>
      <c r="E78" s="4">
        <f t="shared" si="10"/>
        <v>12.03</v>
      </c>
      <c r="F78" s="4">
        <f t="shared" si="10"/>
        <v>2.5</v>
      </c>
      <c r="G78" s="25">
        <f t="shared" si="10"/>
        <v>33.03</v>
      </c>
      <c r="H78" s="23">
        <f>SUM(H67:H77)</f>
        <v>1.0000000000000002</v>
      </c>
    </row>
    <row r="79" spans="1:8" ht="12">
      <c r="A79" s="12"/>
      <c r="B79" s="3"/>
      <c r="C79" s="3"/>
      <c r="D79" s="3"/>
      <c r="E79" s="3"/>
      <c r="F79" s="3"/>
      <c r="G79" s="3"/>
      <c r="H79" s="10"/>
    </row>
    <row r="80" spans="1:8" ht="12">
      <c r="A80" s="12" t="s">
        <v>28</v>
      </c>
      <c r="B80" s="4">
        <v>8.88</v>
      </c>
      <c r="C80" s="4">
        <v>6.3</v>
      </c>
      <c r="D80" s="4">
        <v>6.32</v>
      </c>
      <c r="E80" s="4">
        <v>11.07</v>
      </c>
      <c r="F80" s="4">
        <v>3</v>
      </c>
      <c r="G80" s="4">
        <f>SUM(B80:F80)</f>
        <v>35.57</v>
      </c>
      <c r="H80" s="13"/>
    </row>
    <row r="81" spans="1:8" ht="12">
      <c r="A81" s="12"/>
      <c r="B81" s="5"/>
      <c r="C81" s="5"/>
      <c r="D81" s="5"/>
      <c r="E81" s="5"/>
      <c r="F81" s="5"/>
      <c r="G81" s="5"/>
      <c r="H81" s="14"/>
    </row>
    <row r="82" spans="1:8" ht="12">
      <c r="A82" s="12" t="s">
        <v>29</v>
      </c>
      <c r="B82" s="4">
        <f>B78-B80</f>
        <v>-3.1500000000000012</v>
      </c>
      <c r="C82" s="4">
        <f>C78-C80</f>
        <v>0</v>
      </c>
      <c r="D82" s="4">
        <f>D78-D80</f>
        <v>0.14999999999999947</v>
      </c>
      <c r="E82" s="4">
        <f>E78-E80</f>
        <v>0.9599999999999991</v>
      </c>
      <c r="F82" s="4">
        <f>F78-F80</f>
        <v>-0.5</v>
      </c>
      <c r="G82" s="4">
        <f>SUM(B82:F82)</f>
        <v>-2.5400000000000027</v>
      </c>
      <c r="H82" s="13"/>
    </row>
    <row r="83" spans="1:8" ht="12">
      <c r="A83" s="12"/>
      <c r="B83" s="5"/>
      <c r="C83" s="5"/>
      <c r="D83" s="5"/>
      <c r="E83" s="5"/>
      <c r="F83" s="5"/>
      <c r="G83" s="5"/>
      <c r="H83" s="14"/>
    </row>
    <row r="84" spans="1:8" ht="12">
      <c r="A84" s="12"/>
      <c r="B84" s="5"/>
      <c r="C84" s="5"/>
      <c r="D84" s="5"/>
      <c r="E84" s="5"/>
      <c r="F84" s="5"/>
      <c r="G84" s="5"/>
      <c r="H84" s="14"/>
    </row>
    <row r="85" spans="1:8" ht="12">
      <c r="A85" s="12" t="s">
        <v>30</v>
      </c>
      <c r="B85" s="17">
        <f aca="true" t="shared" si="11" ref="B85:G85">B82/B80</f>
        <v>-0.3547297297297298</v>
      </c>
      <c r="C85" s="17">
        <f t="shared" si="11"/>
        <v>0</v>
      </c>
      <c r="D85" s="17">
        <f t="shared" si="11"/>
        <v>0.023734177215189788</v>
      </c>
      <c r="E85" s="17">
        <f t="shared" si="11"/>
        <v>0.086720867208672</v>
      </c>
      <c r="F85" s="17">
        <f t="shared" si="11"/>
        <v>-0.16666666666666666</v>
      </c>
      <c r="G85" s="17">
        <f t="shared" si="11"/>
        <v>-0.07140849030081536</v>
      </c>
      <c r="H85" s="13"/>
    </row>
    <row r="86" spans="1:8" ht="12.75" thickBot="1">
      <c r="A86" s="15"/>
      <c r="B86" s="26"/>
      <c r="C86" s="26"/>
      <c r="D86" s="26"/>
      <c r="E86" s="26"/>
      <c r="F86" s="26"/>
      <c r="G86" s="26"/>
      <c r="H86" s="27"/>
    </row>
  </sheetData>
  <mergeCells count="5">
    <mergeCell ref="S8:T8"/>
    <mergeCell ref="K8:L8"/>
    <mergeCell ref="M8:N8"/>
    <mergeCell ref="O8:P8"/>
    <mergeCell ref="Q8:R8"/>
  </mergeCells>
  <printOptions gridLines="1"/>
  <pageMargins left="0.75" right="0.25" top="0.5" bottom="0.25" header="0.5" footer="0.5"/>
  <pageSetup horizontalDpi="600" verticalDpi="600" orientation="landscape"/>
  <headerFooter alignWithMargins="0">
    <oddFooter>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 Francisco Arts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khtun</dc:creator>
  <cp:keywords/>
  <dc:description/>
  <cp:lastModifiedBy>Luis R. Cancel</cp:lastModifiedBy>
  <cp:lastPrinted>2009-01-29T23:48:16Z</cp:lastPrinted>
  <dcterms:created xsi:type="dcterms:W3CDTF">2008-12-10T16:46:04Z</dcterms:created>
  <dcterms:modified xsi:type="dcterms:W3CDTF">2009-01-29T23:51:17Z</dcterms:modified>
  <cp:category/>
  <cp:version/>
  <cp:contentType/>
  <cp:contentStatus/>
</cp:coreProperties>
</file>