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480" yWindow="135" windowWidth="44580" windowHeight="11700" tabRatio="853" activeTab="5"/>
  </bookViews>
  <sheets>
    <sheet name="1A Major Changes Table" sheetId="1" r:id="rId1"/>
    <sheet name="2A Revenue Report" sheetId="3" r:id="rId2"/>
    <sheet name="2B Fees &amp; Fines" sheetId="4" r:id="rId3"/>
    <sheet name="2C Cost Recovery" sheetId="5" r:id="rId4"/>
    <sheet name="2D Legislative Changes" sheetId="14" r:id="rId5"/>
    <sheet name="3A Expenditure Report" sheetId="7" r:id="rId6"/>
    <sheet name="3B Workorder Balancing" sheetId="24" r:id="rId7"/>
    <sheet name="3C Position Changes" sheetId="13" r:id="rId8"/>
    <sheet name="4 Equipment &amp; Fleet" sheetId="22" r:id="rId9"/>
    <sheet name="4D Fleet Request" sheetId="28" r:id="rId10"/>
    <sheet name="5 COIT Request (Online)" sheetId="9" r:id="rId11"/>
    <sheet name="6 Capital Request (Online)" sheetId="12" r:id="rId12"/>
    <sheet name="7A Contracts Non-ICT" sheetId="15" r:id="rId13"/>
    <sheet name="7B Contracts ICT" sheetId="16" r:id="rId14"/>
    <sheet name="8A FAMIS Project Coding" sheetId="25" r:id="rId15"/>
    <sheet name="8B FAMIS Index Coding" sheetId="26" r:id="rId16"/>
    <sheet name="Prop J Summary" sheetId="17" r:id="rId17"/>
    <sheet name="Prop J Main Template" sheetId="18" r:id="rId18"/>
    <sheet name="Prop J Cost Detail" sheetId="19" r:id="rId19"/>
    <sheet name="Prop J Sample"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uto_CPI_Adjust_Yes_No" localSheetId="0">'[1]Form 2B-Fees &amp; Fines'!$Q$3:$Q$4</definedName>
    <definedName name="Auto_CPI_Adjust_Yes_No" localSheetId="1">'[2]Form 2B-Fees &amp; Fines'!$Q$4:$Q$5</definedName>
    <definedName name="Auto_CPI_Adjust_Yes_No" localSheetId="2">'2B Fees &amp; Fines'!$R$5:$R$6</definedName>
    <definedName name="Auto_CPI_Adjust_Yes_No" localSheetId="3">#REF!</definedName>
    <definedName name="Auto_CPI_Adjust_Yes_No" localSheetId="4">'[3]Form 2B-Fees &amp; Fines'!$Q$3:$Q$4</definedName>
    <definedName name="Auto_CPI_Adjust_Yes_No" localSheetId="5">#REF!</definedName>
    <definedName name="Auto_CPI_Adjust_Yes_No" localSheetId="6">#REF!</definedName>
    <definedName name="Auto_CPI_Adjust_Yes_No" localSheetId="7">'[4]Form 2B-Fees &amp; Fines'!$Q$3:$Q$4</definedName>
    <definedName name="Auto_CPI_Adjust_Yes_No" localSheetId="8">'[2]Form 2B-Fees &amp; Fines'!$Q$4:$Q$5</definedName>
    <definedName name="Auto_CPI_Adjust_Yes_No" localSheetId="9">#REF!</definedName>
    <definedName name="Auto_CPI_Adjust_Yes_No" localSheetId="10">'[5]Form 2B-Fees &amp; Fines'!$Q$3:$Q$4</definedName>
    <definedName name="Auto_CPI_Adjust_Yes_No" localSheetId="11">'[5]Form 2B-Fees &amp; Fines'!$Q$3:$Q$4</definedName>
    <definedName name="Auto_CPI_Adjust_Yes_No" localSheetId="13">'[3]Form 2B-Fees &amp; Fines'!$Q$3:$Q$4</definedName>
    <definedName name="Auto_CPI_Adjust_Yes_No" localSheetId="18">'[5]Form 2B-Fees &amp; Fines'!$Q$3:$Q$4</definedName>
    <definedName name="Auto_CPI_Adjust_Yes_No" localSheetId="19">'[5]Form 2B-Fees &amp; Fines'!$Q$3:$Q$4</definedName>
    <definedName name="Auto_CPI_Adjust_Yes_No" localSheetId="16">'[5]Form 2B-Fees &amp; Fines'!$Q$3:$Q$4</definedName>
    <definedName name="Auto_CPI_Adjust_Yes_No">#REF!</definedName>
    <definedName name="cpi_adj" localSheetId="2">'2B Fees &amp; Fines'!$R$5:$R$6</definedName>
    <definedName name="_xlnm.Print_Area" localSheetId="0">'1A Major Changes Table'!$C$1:$O$34</definedName>
    <definedName name="_xlnm.Print_Area" localSheetId="1">'2A Revenue Report'!$B$2:$R$25</definedName>
    <definedName name="_xlnm.Print_Area" localSheetId="2">'2B Fees &amp; Fines'!$B$1:$Z$61</definedName>
    <definedName name="_xlnm.Print_Area" localSheetId="3">'2C Cost Recovery'!$A$1:$P$175</definedName>
    <definedName name="_xlnm.Print_Area" localSheetId="4">'2D Legislative Changes'!$B$3:$G$29</definedName>
    <definedName name="_xlnm.Print_Area" localSheetId="5">'3A Expenditure Report'!$B$2:$P$64</definedName>
    <definedName name="_xlnm.Print_Area" localSheetId="6">'3B Workorder Balancing'!$B$2:$W$35</definedName>
    <definedName name="_xlnm.Print_Area" localSheetId="7">'3C Position Changes'!$B$2:$R$29</definedName>
    <definedName name="_xlnm.Print_Area" localSheetId="8">'4 Equipment &amp; Fleet'!$B$2:$R$62</definedName>
    <definedName name="_xlnm.Print_Area" localSheetId="9">'4D Fleet Request'!#REF!</definedName>
    <definedName name="_xlnm.Print_Area" localSheetId="10">'5 COIT Request (Online)'!$A$1:$M$6</definedName>
    <definedName name="_xlnm.Print_Area" localSheetId="11">'6 Capital Request (Online)'!$A$1:$M$6</definedName>
    <definedName name="_xlnm.Print_Area" localSheetId="13">'7B Contracts ICT'!$B$2:$Y$26</definedName>
    <definedName name="_xlnm.Print_Area" localSheetId="14">'8A FAMIS Project Coding'!$A$1:$N$51</definedName>
    <definedName name="_xlnm.Print_Area" localSheetId="15">'8B FAMIS Index Coding'!$A$1:$U$51</definedName>
    <definedName name="_xlnm.Print_Area" localSheetId="18">'Prop J Cost Detail'!$A$3:$Q$45</definedName>
    <definedName name="_xlnm.Print_Area" localSheetId="17">'Prop J Main Template'!$A$3:$O$58</definedName>
    <definedName name="_xlnm.Print_Area" localSheetId="19">'Prop J Sample'!$B$2:$H$54</definedName>
    <definedName name="_xlnm.Print_Area" localSheetId="16">'Prop J Summary'!$A$3:$C$36</definedName>
    <definedName name="_xlnm.Print_Titles" localSheetId="2">'2B Fees &amp; Fines'!$B:$H</definedName>
    <definedName name="Request" localSheetId="0">'[6]Drop-Down Menu Lists'!$A$37:$A$39</definedName>
    <definedName name="Request" localSheetId="2">'[7]Drop-Down Menu Lists'!$A$37:$A$39</definedName>
    <definedName name="Request" localSheetId="4">'[6]Drop-Down Menu Lists'!$A$37:$A$39</definedName>
    <definedName name="Request" localSheetId="7">'[6]Drop-Down Menu Lists'!$A$37:$A$39</definedName>
    <definedName name="Request" localSheetId="8">'[6]Drop-Down Menu Lists'!$A$37:$A$39</definedName>
    <definedName name="Request" localSheetId="9">'[8]Drop-Down Menu Lists'!$A$37:$A$39</definedName>
    <definedName name="Request" localSheetId="13">'[6]Drop-Down Menu Lists'!$A$37:$A$39</definedName>
    <definedName name="Request">'[7]Drop-Down Menu Lists'!$A$37:$A$39</definedName>
    <definedName name="Subsystems" localSheetId="0">'[6]Drop-Down Menu Lists'!$A$2:$A$32</definedName>
    <definedName name="Subsystems" localSheetId="2">'[7]Drop-Down Menu Lists'!$A$2:$A$32</definedName>
    <definedName name="Subsystems" localSheetId="4">'[6]Drop-Down Menu Lists'!$A$2:$A$32</definedName>
    <definedName name="Subsystems" localSheetId="7">'[6]Drop-Down Menu Lists'!$A$2:$A$32</definedName>
    <definedName name="Subsystems" localSheetId="8">'[6]Drop-Down Menu Lists'!$A$2:$A$32</definedName>
    <definedName name="Subsystems" localSheetId="9">'[8]Drop-Down Menu Lists'!$A$2:$A$32</definedName>
    <definedName name="Subsystems" localSheetId="13">'[6]Drop-Down Menu Lists'!$A$2:$A$32</definedName>
    <definedName name="Subsystems">'[7]Drop-Down Menu Lists'!$A$2:$A$32</definedName>
  </definedNames>
  <calcPr calcId="145621"/>
</workbook>
</file>

<file path=xl/calcChain.xml><?xml version="1.0" encoding="utf-8"?>
<calcChain xmlns="http://schemas.openxmlformats.org/spreadsheetml/2006/main">
  <c r="V22" i="15" l="1"/>
  <c r="V19" i="15"/>
  <c r="V18" i="15"/>
  <c r="V8" i="15"/>
  <c r="R22" i="15"/>
  <c r="N22" i="15"/>
  <c r="V10" i="15"/>
  <c r="R12" i="15"/>
  <c r="N12" i="15"/>
  <c r="N28" i="7" l="1"/>
  <c r="C20" i="17" l="1"/>
  <c r="P43" i="22" l="1"/>
  <c r="Q43" i="22" s="1"/>
  <c r="P42" i="22"/>
  <c r="Q42" i="22" s="1"/>
  <c r="P41" i="22"/>
  <c r="Q41" i="22" s="1"/>
  <c r="P40" i="22"/>
  <c r="Q40" i="22" s="1"/>
  <c r="P36" i="22"/>
  <c r="Q36" i="22" s="1"/>
  <c r="O13" i="7" l="1"/>
  <c r="O14" i="7"/>
  <c r="O15" i="7"/>
  <c r="O16" i="7"/>
  <c r="O17" i="7"/>
  <c r="O18" i="7"/>
  <c r="O19" i="7"/>
  <c r="O20" i="7"/>
  <c r="O21" i="7"/>
  <c r="O22" i="7"/>
  <c r="O12" i="7"/>
  <c r="L13" i="7"/>
  <c r="L14" i="7"/>
  <c r="L15" i="7"/>
  <c r="L16" i="7"/>
  <c r="L17" i="7"/>
  <c r="L18" i="7"/>
  <c r="L19" i="7"/>
  <c r="L20" i="7"/>
  <c r="L21" i="7"/>
  <c r="L22" i="7"/>
  <c r="L12" i="7"/>
  <c r="G5" i="19" l="1"/>
  <c r="H41" i="20" l="1"/>
  <c r="G41" i="20"/>
  <c r="H36" i="20"/>
  <c r="G35" i="20"/>
  <c r="G37" i="20" s="1"/>
  <c r="H34" i="20"/>
  <c r="H33" i="20"/>
  <c r="D25" i="20"/>
  <c r="M24" i="20"/>
  <c r="M23" i="20"/>
  <c r="M21" i="20"/>
  <c r="L21" i="20"/>
  <c r="P21" i="20" s="1"/>
  <c r="F21" i="20"/>
  <c r="H21" i="20" s="1"/>
  <c r="O21" i="20" s="1"/>
  <c r="E21" i="20"/>
  <c r="G21" i="20" s="1"/>
  <c r="N21" i="20" s="1"/>
  <c r="H20" i="20"/>
  <c r="F20" i="20"/>
  <c r="E20" i="20"/>
  <c r="G20" i="20" s="1"/>
  <c r="F19" i="20"/>
  <c r="H19" i="20" s="1"/>
  <c r="E19" i="20"/>
  <c r="G19" i="20" s="1"/>
  <c r="F18" i="20"/>
  <c r="H18" i="20" s="1"/>
  <c r="E18" i="20"/>
  <c r="G18" i="20" s="1"/>
  <c r="M17" i="20"/>
  <c r="M18" i="20" s="1"/>
  <c r="L17" i="20"/>
  <c r="L18" i="20" s="1"/>
  <c r="P18" i="20" s="1"/>
  <c r="F17" i="20"/>
  <c r="H17" i="20" s="1"/>
  <c r="E17" i="20"/>
  <c r="G17" i="20" s="1"/>
  <c r="N17" i="20" s="1"/>
  <c r="M16" i="20"/>
  <c r="M20" i="20" s="1"/>
  <c r="L16" i="20"/>
  <c r="P16" i="20" s="1"/>
  <c r="F16" i="20"/>
  <c r="H16" i="20" s="1"/>
  <c r="E16" i="20"/>
  <c r="G16" i="20" s="1"/>
  <c r="N16" i="20" s="1"/>
  <c r="M15" i="20"/>
  <c r="L15" i="20"/>
  <c r="P15" i="20" s="1"/>
  <c r="F15" i="20"/>
  <c r="H15" i="20" s="1"/>
  <c r="E15" i="20"/>
  <c r="G15" i="20" s="1"/>
  <c r="F14" i="20"/>
  <c r="H14" i="20" s="1"/>
  <c r="E14" i="20"/>
  <c r="G14" i="20" s="1"/>
  <c r="N14" i="20" s="1"/>
  <c r="M13" i="20"/>
  <c r="M14" i="20" s="1"/>
  <c r="L13" i="20"/>
  <c r="L14" i="20" s="1"/>
  <c r="P14" i="20" s="1"/>
  <c r="G13" i="20"/>
  <c r="F13" i="20"/>
  <c r="H13" i="20" s="1"/>
  <c r="O13" i="20" s="1"/>
  <c r="E13" i="20"/>
  <c r="M11" i="20"/>
  <c r="M12" i="20" s="1"/>
  <c r="L11" i="20"/>
  <c r="P11" i="20" s="1"/>
  <c r="F11" i="20"/>
  <c r="E11" i="20"/>
  <c r="G11" i="20" s="1"/>
  <c r="O14" i="19"/>
  <c r="Q10" i="19"/>
  <c r="N14" i="19" s="1"/>
  <c r="P10" i="19"/>
  <c r="M14" i="19" s="1"/>
  <c r="G44" i="18"/>
  <c r="F44" i="18"/>
  <c r="F40" i="18"/>
  <c r="G39" i="18"/>
  <c r="G38" i="18"/>
  <c r="G37" i="18"/>
  <c r="G36" i="18"/>
  <c r="G33" i="18"/>
  <c r="F33" i="18"/>
  <c r="C28" i="18"/>
  <c r="N26" i="18"/>
  <c r="M26" i="18"/>
  <c r="O22" i="18"/>
  <c r="G22" i="18"/>
  <c r="N22" i="18" s="1"/>
  <c r="F22" i="18"/>
  <c r="M22" i="18" s="1"/>
  <c r="O21" i="18"/>
  <c r="G21" i="18"/>
  <c r="N21" i="18" s="1"/>
  <c r="F21" i="18"/>
  <c r="M21" i="18" s="1"/>
  <c r="O20" i="18"/>
  <c r="G20" i="18"/>
  <c r="N20" i="18" s="1"/>
  <c r="F20" i="18"/>
  <c r="M20" i="18" s="1"/>
  <c r="O19" i="18"/>
  <c r="G19" i="18"/>
  <c r="N19" i="18" s="1"/>
  <c r="F19" i="18"/>
  <c r="M19" i="18" s="1"/>
  <c r="O18" i="18"/>
  <c r="G18" i="18"/>
  <c r="N18" i="18" s="1"/>
  <c r="F18" i="18"/>
  <c r="M18" i="18" s="1"/>
  <c r="O17" i="18"/>
  <c r="G17" i="18"/>
  <c r="N17" i="18" s="1"/>
  <c r="F17" i="18"/>
  <c r="M17" i="18" s="1"/>
  <c r="O16" i="18"/>
  <c r="G16" i="18"/>
  <c r="N16" i="18" s="1"/>
  <c r="F16" i="18"/>
  <c r="M16" i="18" s="1"/>
  <c r="O15" i="18"/>
  <c r="G15" i="18"/>
  <c r="N15" i="18" s="1"/>
  <c r="F15" i="18"/>
  <c r="M15" i="18" s="1"/>
  <c r="O14" i="18"/>
  <c r="G14" i="18"/>
  <c r="N14" i="18" s="1"/>
  <c r="F14" i="18"/>
  <c r="M14" i="18" s="1"/>
  <c r="O13" i="18"/>
  <c r="G13" i="18"/>
  <c r="N13" i="18" s="1"/>
  <c r="F13" i="18"/>
  <c r="M13" i="18" s="1"/>
  <c r="O12" i="18"/>
  <c r="G12" i="18"/>
  <c r="F12" i="18"/>
  <c r="C15" i="17"/>
  <c r="B15" i="17"/>
  <c r="C14" i="17"/>
  <c r="B14" i="17"/>
  <c r="O25" i="25"/>
  <c r="P25" i="25" s="1"/>
  <c r="O23" i="25"/>
  <c r="P23" i="25" s="1"/>
  <c r="O21" i="25"/>
  <c r="P21" i="25" s="1"/>
  <c r="O19" i="25"/>
  <c r="P19" i="25" s="1"/>
  <c r="I18" i="25"/>
  <c r="U19" i="16"/>
  <c r="Q19" i="16"/>
  <c r="N19" i="16"/>
  <c r="X18" i="16"/>
  <c r="V18" i="16"/>
  <c r="T18" i="16"/>
  <c r="P18" i="16"/>
  <c r="X17" i="16"/>
  <c r="R17" i="16"/>
  <c r="T17" i="16" s="1"/>
  <c r="P17" i="16"/>
  <c r="X16" i="16"/>
  <c r="R16" i="16"/>
  <c r="V16" i="16" s="1"/>
  <c r="P16" i="16"/>
  <c r="U11" i="16"/>
  <c r="R11" i="16"/>
  <c r="Q11" i="16"/>
  <c r="N11" i="16"/>
  <c r="X10" i="16"/>
  <c r="V10" i="16"/>
  <c r="T10" i="16"/>
  <c r="P10" i="16"/>
  <c r="X9" i="16"/>
  <c r="V9" i="16"/>
  <c r="T9" i="16"/>
  <c r="P9" i="16"/>
  <c r="X8" i="16"/>
  <c r="V8" i="16"/>
  <c r="T8" i="16"/>
  <c r="P8" i="16"/>
  <c r="V9" i="15"/>
  <c r="P60" i="22"/>
  <c r="Q60" i="22" s="1"/>
  <c r="P59" i="22"/>
  <c r="Q59" i="22" s="1"/>
  <c r="P58" i="22"/>
  <c r="Q58" i="22" s="1"/>
  <c r="P57" i="22"/>
  <c r="Q57" i="22" s="1"/>
  <c r="P53" i="22"/>
  <c r="Q53" i="22" s="1"/>
  <c r="Q44" i="22"/>
  <c r="P27" i="13"/>
  <c r="O27" i="13"/>
  <c r="N27" i="13"/>
  <c r="M27" i="13"/>
  <c r="O64" i="7"/>
  <c r="L64" i="7"/>
  <c r="O63" i="7"/>
  <c r="L63" i="7"/>
  <c r="O62" i="7"/>
  <c r="L62" i="7"/>
  <c r="O61" i="7"/>
  <c r="L61" i="7"/>
  <c r="O60" i="7"/>
  <c r="L60" i="7"/>
  <c r="O59" i="7"/>
  <c r="L59" i="7"/>
  <c r="O58" i="7"/>
  <c r="L58" i="7"/>
  <c r="O57" i="7"/>
  <c r="L57" i="7"/>
  <c r="O56" i="7"/>
  <c r="L56" i="7"/>
  <c r="O55" i="7"/>
  <c r="L55" i="7"/>
  <c r="O54" i="7"/>
  <c r="L54" i="7"/>
  <c r="O53" i="7"/>
  <c r="L53" i="7"/>
  <c r="O52" i="7"/>
  <c r="L52" i="7"/>
  <c r="O51" i="7"/>
  <c r="L51" i="7"/>
  <c r="O50" i="7"/>
  <c r="L50" i="7"/>
  <c r="O49" i="7"/>
  <c r="L49" i="7"/>
  <c r="O48" i="7"/>
  <c r="L48" i="7"/>
  <c r="O47" i="7"/>
  <c r="L47" i="7"/>
  <c r="O41" i="7"/>
  <c r="L41" i="7"/>
  <c r="O40" i="7"/>
  <c r="L40" i="7"/>
  <c r="O39" i="7"/>
  <c r="L39" i="7"/>
  <c r="O38" i="7"/>
  <c r="L38" i="7"/>
  <c r="O37" i="7"/>
  <c r="L37" i="7"/>
  <c r="O36" i="7"/>
  <c r="L36" i="7"/>
  <c r="O35" i="7"/>
  <c r="L35" i="7"/>
  <c r="O34" i="7"/>
  <c r="L34" i="7"/>
  <c r="O33" i="7"/>
  <c r="L33" i="7"/>
  <c r="O32" i="7"/>
  <c r="L32" i="7"/>
  <c r="O31" i="7"/>
  <c r="L31" i="7"/>
  <c r="O30" i="7"/>
  <c r="L30" i="7"/>
  <c r="O29" i="7"/>
  <c r="L29" i="7"/>
  <c r="O28" i="7"/>
  <c r="L28" i="7"/>
  <c r="O27" i="7"/>
  <c r="L27" i="7"/>
  <c r="O26" i="7"/>
  <c r="L26" i="7"/>
  <c r="O25" i="7"/>
  <c r="L25" i="7"/>
  <c r="O24" i="7"/>
  <c r="L24" i="7"/>
  <c r="O23" i="7"/>
  <c r="L23" i="7"/>
  <c r="E25" i="14"/>
  <c r="D25" i="14"/>
  <c r="E16" i="14"/>
  <c r="D16" i="14"/>
  <c r="C170" i="5"/>
  <c r="C162" i="5"/>
  <c r="C154" i="5"/>
  <c r="F144" i="5"/>
  <c r="E144" i="5"/>
  <c r="C144" i="5"/>
  <c r="B144" i="5"/>
  <c r="F143" i="5"/>
  <c r="E143" i="5"/>
  <c r="C143" i="5"/>
  <c r="B143" i="5"/>
  <c r="F142" i="5"/>
  <c r="E142" i="5"/>
  <c r="C142" i="5"/>
  <c r="B142" i="5"/>
  <c r="F141" i="5"/>
  <c r="E141" i="5"/>
  <c r="C141" i="5"/>
  <c r="B141" i="5"/>
  <c r="C116" i="5"/>
  <c r="L30" i="5" s="1"/>
  <c r="C108" i="5"/>
  <c r="L29" i="5" s="1"/>
  <c r="C100" i="5"/>
  <c r="L28" i="5" s="1"/>
  <c r="F90" i="5"/>
  <c r="E90" i="5"/>
  <c r="C90" i="5"/>
  <c r="B90" i="5"/>
  <c r="F89" i="5"/>
  <c r="E89" i="5"/>
  <c r="C89" i="5"/>
  <c r="B89" i="5"/>
  <c r="F88" i="5"/>
  <c r="E88" i="5"/>
  <c r="C88" i="5"/>
  <c r="B88" i="5"/>
  <c r="F87" i="5"/>
  <c r="E87" i="5"/>
  <c r="C87" i="5"/>
  <c r="B87" i="5"/>
  <c r="L63" i="5"/>
  <c r="L62" i="5"/>
  <c r="K54" i="5"/>
  <c r="E53" i="5"/>
  <c r="E56" i="5" s="1"/>
  <c r="L52" i="5"/>
  <c r="L51" i="5"/>
  <c r="L50" i="5"/>
  <c r="L49" i="5"/>
  <c r="L48" i="5"/>
  <c r="L41" i="5"/>
  <c r="L40" i="5"/>
  <c r="K32" i="5"/>
  <c r="E31" i="5"/>
  <c r="E34" i="5" s="1"/>
  <c r="E17" i="5"/>
  <c r="E21" i="5" s="1"/>
  <c r="L21" i="5" s="1"/>
  <c r="C17" i="5"/>
  <c r="E16" i="5"/>
  <c r="C16" i="5"/>
  <c r="E15" i="5"/>
  <c r="L15" i="5" s="1"/>
  <c r="L16" i="5" s="1"/>
  <c r="C15" i="5"/>
  <c r="V53" i="4"/>
  <c r="W53" i="4" s="1"/>
  <c r="Q53" i="4"/>
  <c r="R53" i="4" s="1"/>
  <c r="L53" i="4"/>
  <c r="T52" i="4"/>
  <c r="V52" i="4" s="1"/>
  <c r="W52" i="4" s="1"/>
  <c r="Q52" i="4"/>
  <c r="R52" i="4" s="1"/>
  <c r="M52" i="4"/>
  <c r="L52" i="4"/>
  <c r="T51" i="4"/>
  <c r="V51" i="4" s="1"/>
  <c r="W51" i="4" s="1"/>
  <c r="Q51" i="4"/>
  <c r="R51" i="4" s="1"/>
  <c r="M51" i="4"/>
  <c r="L51" i="4"/>
  <c r="T50" i="4"/>
  <c r="V50" i="4" s="1"/>
  <c r="W50" i="4" s="1"/>
  <c r="Q50" i="4"/>
  <c r="R50" i="4" s="1"/>
  <c r="M50" i="4"/>
  <c r="L50" i="4"/>
  <c r="T49" i="4"/>
  <c r="V49" i="4" s="1"/>
  <c r="W49" i="4" s="1"/>
  <c r="Q49" i="4"/>
  <c r="R49" i="4" s="1"/>
  <c r="M49" i="4"/>
  <c r="L49" i="4"/>
  <c r="T48" i="4"/>
  <c r="V48" i="4" s="1"/>
  <c r="W48" i="4" s="1"/>
  <c r="Q48" i="4"/>
  <c r="R48" i="4" s="1"/>
  <c r="M48" i="4"/>
  <c r="L48" i="4"/>
  <c r="T47" i="4"/>
  <c r="V47" i="4" s="1"/>
  <c r="W47" i="4" s="1"/>
  <c r="Q47" i="4"/>
  <c r="R47" i="4" s="1"/>
  <c r="M47" i="4"/>
  <c r="L47" i="4"/>
  <c r="T46" i="4"/>
  <c r="V46" i="4" s="1"/>
  <c r="W46" i="4" s="1"/>
  <c r="Q46" i="4"/>
  <c r="R46" i="4" s="1"/>
  <c r="M46" i="4"/>
  <c r="L46" i="4"/>
  <c r="T45" i="4"/>
  <c r="V45" i="4" s="1"/>
  <c r="W45" i="4" s="1"/>
  <c r="Q45" i="4"/>
  <c r="R45" i="4" s="1"/>
  <c r="L45" i="4"/>
  <c r="T44" i="4"/>
  <c r="V44" i="4" s="1"/>
  <c r="W44" i="4" s="1"/>
  <c r="R44" i="4"/>
  <c r="Q44" i="4"/>
  <c r="L44" i="4"/>
  <c r="T43" i="4"/>
  <c r="V43" i="4" s="1"/>
  <c r="W43" i="4" s="1"/>
  <c r="Q43" i="4"/>
  <c r="R43" i="4" s="1"/>
  <c r="L43" i="4"/>
  <c r="T42" i="4"/>
  <c r="V42" i="4" s="1"/>
  <c r="W42" i="4" s="1"/>
  <c r="Q42" i="4"/>
  <c r="R42" i="4" s="1"/>
  <c r="L42" i="4"/>
  <c r="T41" i="4"/>
  <c r="V41" i="4" s="1"/>
  <c r="W41" i="4" s="1"/>
  <c r="Q41" i="4"/>
  <c r="R41" i="4" s="1"/>
  <c r="M41" i="4"/>
  <c r="L41" i="4"/>
  <c r="T40" i="4"/>
  <c r="V40" i="4" s="1"/>
  <c r="W40" i="4" s="1"/>
  <c r="Q40" i="4"/>
  <c r="R40" i="4" s="1"/>
  <c r="M40" i="4"/>
  <c r="L40" i="4"/>
  <c r="T39" i="4"/>
  <c r="V39" i="4" s="1"/>
  <c r="W39" i="4" s="1"/>
  <c r="Q39" i="4"/>
  <c r="R39" i="4" s="1"/>
  <c r="M39" i="4"/>
  <c r="L39" i="4"/>
  <c r="T38" i="4"/>
  <c r="V38" i="4" s="1"/>
  <c r="W38" i="4" s="1"/>
  <c r="Q38" i="4"/>
  <c r="R38" i="4" s="1"/>
  <c r="M38" i="4"/>
  <c r="L38" i="4"/>
  <c r="T37" i="4"/>
  <c r="V37" i="4" s="1"/>
  <c r="W37" i="4" s="1"/>
  <c r="Q37" i="4"/>
  <c r="R37" i="4" s="1"/>
  <c r="M37" i="4"/>
  <c r="L37" i="4"/>
  <c r="T36" i="4"/>
  <c r="V36" i="4" s="1"/>
  <c r="W36" i="4" s="1"/>
  <c r="Q36" i="4"/>
  <c r="R36" i="4" s="1"/>
  <c r="L36" i="4"/>
  <c r="T35" i="4"/>
  <c r="V35" i="4" s="1"/>
  <c r="W35" i="4" s="1"/>
  <c r="Q35" i="4"/>
  <c r="R35" i="4" s="1"/>
  <c r="M35" i="4"/>
  <c r="L35" i="4"/>
  <c r="T34" i="4"/>
  <c r="V34" i="4" s="1"/>
  <c r="W34" i="4" s="1"/>
  <c r="Q34" i="4"/>
  <c r="R34" i="4" s="1"/>
  <c r="L34" i="4"/>
  <c r="T33" i="4"/>
  <c r="V33" i="4" s="1"/>
  <c r="W33" i="4" s="1"/>
  <c r="Q33" i="4"/>
  <c r="R33" i="4" s="1"/>
  <c r="L33" i="4"/>
  <c r="T32" i="4"/>
  <c r="V32" i="4" s="1"/>
  <c r="W32" i="4" s="1"/>
  <c r="Q32" i="4"/>
  <c r="R32" i="4" s="1"/>
  <c r="L32" i="4"/>
  <c r="T31" i="4"/>
  <c r="V31" i="4" s="1"/>
  <c r="W31" i="4" s="1"/>
  <c r="Q31" i="4"/>
  <c r="R31" i="4" s="1"/>
  <c r="L31" i="4"/>
  <c r="T30" i="4"/>
  <c r="V30" i="4" s="1"/>
  <c r="W30" i="4" s="1"/>
  <c r="Q30" i="4"/>
  <c r="R30" i="4" s="1"/>
  <c r="L30" i="4"/>
  <c r="T29" i="4"/>
  <c r="V29" i="4" s="1"/>
  <c r="W29" i="4" s="1"/>
  <c r="Q29" i="4"/>
  <c r="R29" i="4" s="1"/>
  <c r="L29" i="4"/>
  <c r="T28" i="4"/>
  <c r="V28" i="4" s="1"/>
  <c r="W28" i="4" s="1"/>
  <c r="Q28" i="4"/>
  <c r="R28" i="4" s="1"/>
  <c r="L28" i="4"/>
  <c r="T27" i="4"/>
  <c r="V27" i="4" s="1"/>
  <c r="W27" i="4" s="1"/>
  <c r="Q27" i="4"/>
  <c r="R27" i="4" s="1"/>
  <c r="L27" i="4"/>
  <c r="T26" i="4"/>
  <c r="V26" i="4" s="1"/>
  <c r="W26" i="4" s="1"/>
  <c r="Q26" i="4"/>
  <c r="R26" i="4" s="1"/>
  <c r="L26" i="4"/>
  <c r="T25" i="4"/>
  <c r="V25" i="4" s="1"/>
  <c r="W25" i="4" s="1"/>
  <c r="Q25" i="4"/>
  <c r="R25" i="4" s="1"/>
  <c r="L25" i="4"/>
  <c r="T24" i="4"/>
  <c r="V24" i="4" s="1"/>
  <c r="W24" i="4" s="1"/>
  <c r="Q24" i="4"/>
  <c r="R24" i="4" s="1"/>
  <c r="L24" i="4"/>
  <c r="T23" i="4"/>
  <c r="V23" i="4" s="1"/>
  <c r="W23" i="4" s="1"/>
  <c r="Q23" i="4"/>
  <c r="R23" i="4" s="1"/>
  <c r="L23" i="4"/>
  <c r="T22" i="4"/>
  <c r="V22" i="4" s="1"/>
  <c r="W22" i="4" s="1"/>
  <c r="Q22" i="4"/>
  <c r="R22" i="4" s="1"/>
  <c r="L22" i="4"/>
  <c r="T21" i="4"/>
  <c r="V21" i="4" s="1"/>
  <c r="W21" i="4" s="1"/>
  <c r="Q21" i="4"/>
  <c r="R21" i="4" s="1"/>
  <c r="L21" i="4"/>
  <c r="T20" i="4"/>
  <c r="V20" i="4" s="1"/>
  <c r="W20" i="4" s="1"/>
  <c r="Q20" i="4"/>
  <c r="R20" i="4" s="1"/>
  <c r="L20" i="4"/>
  <c r="T19" i="4"/>
  <c r="V19" i="4" s="1"/>
  <c r="W19" i="4" s="1"/>
  <c r="Q19" i="4"/>
  <c r="R19" i="4" s="1"/>
  <c r="L19" i="4"/>
  <c r="T18" i="4"/>
  <c r="V18" i="4" s="1"/>
  <c r="W18" i="4" s="1"/>
  <c r="Q18" i="4"/>
  <c r="R18" i="4" s="1"/>
  <c r="L18" i="4"/>
  <c r="T17" i="4"/>
  <c r="V17" i="4" s="1"/>
  <c r="W17" i="4" s="1"/>
  <c r="Q17" i="4"/>
  <c r="R17" i="4" s="1"/>
  <c r="L17" i="4"/>
  <c r="T16" i="4"/>
  <c r="V16" i="4" s="1"/>
  <c r="W16" i="4" s="1"/>
  <c r="Q16" i="4"/>
  <c r="R16" i="4" s="1"/>
  <c r="L16" i="4"/>
  <c r="B16" i="4"/>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T15" i="4"/>
  <c r="V15" i="4" s="1"/>
  <c r="Q15" i="4"/>
  <c r="L15" i="4"/>
  <c r="V12" i="15" l="1"/>
  <c r="L64" i="5"/>
  <c r="G87" i="5"/>
  <c r="G88" i="5"/>
  <c r="O15" i="20"/>
  <c r="O16" i="20"/>
  <c r="O17" i="20"/>
  <c r="W8" i="16"/>
  <c r="W9" i="16"/>
  <c r="T16" i="16"/>
  <c r="W16" i="16" s="1"/>
  <c r="V17" i="16"/>
  <c r="V19" i="16" s="1"/>
  <c r="W10" i="16"/>
  <c r="W17" i="16"/>
  <c r="B16" i="17"/>
  <c r="B22" i="17"/>
  <c r="L12" i="20"/>
  <c r="P12" i="20" s="1"/>
  <c r="M19" i="20"/>
  <c r="L20" i="20"/>
  <c r="P20" i="20" s="1"/>
  <c r="P14" i="19"/>
  <c r="Q54" i="4"/>
  <c r="R54" i="4" s="1"/>
  <c r="R15" i="4"/>
  <c r="Q14" i="19"/>
  <c r="N18" i="20"/>
  <c r="L54" i="4"/>
  <c r="L17" i="5"/>
  <c r="L18" i="5" s="1"/>
  <c r="H35" i="20"/>
  <c r="L42" i="5"/>
  <c r="G141" i="5"/>
  <c r="G143" i="5"/>
  <c r="G144" i="5"/>
  <c r="T11" i="16"/>
  <c r="E12" i="20"/>
  <c r="G12" i="20" s="1"/>
  <c r="N12" i="20" s="1"/>
  <c r="L19" i="20"/>
  <c r="P19" i="20" s="1"/>
  <c r="H37" i="20"/>
  <c r="L54" i="5"/>
  <c r="X19" i="16"/>
  <c r="G40" i="18"/>
  <c r="O14" i="20"/>
  <c r="O18" i="20"/>
  <c r="O28" i="18"/>
  <c r="Q61" i="22"/>
  <c r="C16" i="17"/>
  <c r="G142" i="5"/>
  <c r="V54" i="4"/>
  <c r="W54" i="4" s="1"/>
  <c r="P11" i="16"/>
  <c r="X11" i="16"/>
  <c r="N15" i="20"/>
  <c r="O20" i="20"/>
  <c r="P19" i="16"/>
  <c r="G24" i="18"/>
  <c r="N24" i="18" s="1"/>
  <c r="N11" i="20"/>
  <c r="W15" i="4"/>
  <c r="M54" i="4"/>
  <c r="V11" i="16"/>
  <c r="W18" i="16"/>
  <c r="C22" i="17"/>
  <c r="G25" i="18"/>
  <c r="N25" i="18" s="1"/>
  <c r="H11" i="20"/>
  <c r="F12" i="20"/>
  <c r="H12" i="20" s="1"/>
  <c r="O12" i="20" s="1"/>
  <c r="G23" i="20"/>
  <c r="N23" i="20" s="1"/>
  <c r="N19" i="20"/>
  <c r="N20" i="20"/>
  <c r="M12" i="18"/>
  <c r="F25" i="18"/>
  <c r="M25" i="18" s="1"/>
  <c r="F24" i="18"/>
  <c r="M24" i="18" s="1"/>
  <c r="H23" i="20"/>
  <c r="O23" i="20" s="1"/>
  <c r="O19" i="20"/>
  <c r="H24" i="20"/>
  <c r="O24" i="20" s="1"/>
  <c r="G89" i="5"/>
  <c r="G90" i="5"/>
  <c r="R19" i="16"/>
  <c r="N12" i="18"/>
  <c r="N13" i="20"/>
  <c r="G24" i="20"/>
  <c r="N24" i="20" s="1"/>
  <c r="L55" i="5"/>
  <c r="P13" i="20"/>
  <c r="P17" i="20"/>
  <c r="B25" i="17" l="1"/>
  <c r="C25" i="17"/>
  <c r="L56" i="5"/>
  <c r="M54" i="5" s="1"/>
  <c r="T19" i="16"/>
  <c r="W19" i="16"/>
  <c r="P25" i="20"/>
  <c r="H29" i="20" s="1"/>
  <c r="W11" i="16"/>
  <c r="G91" i="5"/>
  <c r="L26" i="5" s="1"/>
  <c r="G145" i="5"/>
  <c r="G28" i="18"/>
  <c r="G42" i="18" s="1"/>
  <c r="G46" i="18" s="1"/>
  <c r="G47" i="18" s="1"/>
  <c r="N28" i="18"/>
  <c r="L27" i="5"/>
  <c r="F28" i="18"/>
  <c r="F42" i="18" s="1"/>
  <c r="F46" i="18" s="1"/>
  <c r="F47" i="18" s="1"/>
  <c r="H25" i="20"/>
  <c r="O11" i="20"/>
  <c r="O25" i="20" s="1"/>
  <c r="H28" i="20" s="1"/>
  <c r="N25" i="20"/>
  <c r="G28" i="20" s="1"/>
  <c r="G25" i="20"/>
  <c r="M28" i="18"/>
  <c r="E58" i="5"/>
  <c r="M48" i="5"/>
  <c r="M50" i="5" l="1"/>
  <c r="M55" i="5"/>
  <c r="M49" i="5"/>
  <c r="M56" i="5"/>
  <c r="E59" i="5"/>
  <c r="E60" i="5" s="1"/>
  <c r="M51" i="5"/>
  <c r="H30" i="20"/>
  <c r="H39" i="20" s="1"/>
  <c r="H43" i="20" s="1"/>
  <c r="H44" i="20" s="1"/>
  <c r="G29" i="20"/>
  <c r="G30" i="20" s="1"/>
  <c r="G39" i="20" s="1"/>
  <c r="G43" i="20" s="1"/>
  <c r="G44" i="20" s="1"/>
  <c r="L33" i="5"/>
  <c r="L32" i="5"/>
  <c r="L34" i="5" s="1"/>
  <c r="M26" i="5" s="1"/>
  <c r="M33" i="5" l="1"/>
  <c r="E37" i="5"/>
  <c r="E38" i="5" s="1"/>
  <c r="M52" i="5"/>
  <c r="M28" i="5"/>
  <c r="M29" i="5"/>
  <c r="M27" i="5"/>
  <c r="M32" i="5"/>
  <c r="M30" i="5"/>
  <c r="E36" i="5"/>
  <c r="M34" i="5"/>
</calcChain>
</file>

<file path=xl/comments1.xml><?xml version="1.0" encoding="utf-8"?>
<comments xmlns="http://schemas.openxmlformats.org/spreadsheetml/2006/main">
  <authors>
    <author>Administrator</author>
  </authors>
  <commentList>
    <comment ref="I5" authorId="0">
      <text>
        <r>
          <rPr>
            <sz val="11"/>
            <color indexed="81"/>
            <rFont val="Calibri"/>
            <family val="2"/>
            <scheme val="minor"/>
          </rPr>
          <t xml:space="preserve">Will be provided in January </t>
        </r>
      </text>
    </comment>
    <comment ref="I6" authorId="0">
      <text>
        <r>
          <rPr>
            <b/>
            <sz val="9"/>
            <color indexed="81"/>
            <rFont val="Tahoma"/>
            <family val="2"/>
          </rPr>
          <t>Administrator:</t>
        </r>
        <r>
          <rPr>
            <sz val="9"/>
            <color indexed="81"/>
            <rFont val="Tahoma"/>
            <family val="2"/>
          </rPr>
          <t xml:space="preserve">
Will be provided in January</t>
        </r>
      </text>
    </comment>
  </commentList>
</comments>
</file>

<file path=xl/comments2.xml><?xml version="1.0" encoding="utf-8"?>
<comments xmlns="http://schemas.openxmlformats.org/spreadsheetml/2006/main">
  <authors>
    <author>Sarah Anders</author>
  </authors>
  <commentList>
    <comment ref="G24" authorId="0">
      <text>
        <r>
          <rPr>
            <b/>
            <sz val="8"/>
            <color indexed="81"/>
            <rFont val="Tahoma"/>
            <family val="2"/>
          </rPr>
          <t>Note:</t>
        </r>
        <r>
          <rPr>
            <sz val="8"/>
            <color indexed="81"/>
            <rFont val="Tahoma"/>
            <family val="2"/>
          </rPr>
          <t xml:space="preserve"> formula assumes ALL job classes are eligible for premium pay.  If that is incorrect, adjust formula to only sum the salaries of applicable job classes.</t>
        </r>
      </text>
    </comment>
    <comment ref="A26" authorId="0">
      <text>
        <r>
          <rPr>
            <sz val="8"/>
            <color indexed="81"/>
            <rFont val="Tahoma"/>
            <family val="2"/>
          </rPr>
          <t>If overtime is received, use formula:
low/high salary (column F/G) for applicable job class(es) x 1.5 x (# overtime hrs in PPD/80).</t>
        </r>
      </text>
    </comment>
    <comment ref="A27" authorId="0">
      <text>
        <r>
          <rPr>
            <sz val="8"/>
            <color indexed="81"/>
            <rFont val="Tahoma"/>
            <family val="2"/>
          </rPr>
          <t>Ex. Uniform allowance.</t>
        </r>
      </text>
    </comment>
    <comment ref="G31" authorId="0">
      <text>
        <r>
          <rPr>
            <sz val="8"/>
            <color indexed="81"/>
            <rFont val="Tahoma"/>
            <family val="2"/>
          </rPr>
          <t>Enter estimated fringe benefit costs here.  These will be recalculated once the Controller's Office inputs fringe rates above.</t>
        </r>
      </text>
    </comment>
    <comment ref="A36" authorId="0">
      <text>
        <r>
          <rPr>
            <sz val="8"/>
            <color indexed="81"/>
            <rFont val="Tahoma"/>
            <family val="2"/>
          </rPr>
          <t>Include any estimated capital costs (for ex. any materials, supplies, or other equipment) and any other costs not included above.</t>
        </r>
      </text>
    </comment>
  </commentList>
</comments>
</file>

<file path=xl/comments3.xml><?xml version="1.0" encoding="utf-8"?>
<comments xmlns="http://schemas.openxmlformats.org/spreadsheetml/2006/main">
  <authors>
    <author>Sarah Anders</author>
  </authors>
  <commentList>
    <comment ref="J5" authorId="0">
      <text>
        <r>
          <rPr>
            <sz val="8"/>
            <color indexed="81"/>
            <rFont val="Tahoma"/>
            <family val="2"/>
          </rPr>
          <t>Usually yes.</t>
        </r>
      </text>
    </comment>
    <comment ref="M9" authorId="0">
      <text>
        <r>
          <rPr>
            <sz val="8"/>
            <color indexed="81"/>
            <rFont val="Tahoma"/>
            <family val="2"/>
          </rPr>
          <t>Can be partial FTE.</t>
        </r>
      </text>
    </comment>
  </commentList>
</comments>
</file>

<file path=xl/comments4.xml><?xml version="1.0" encoding="utf-8"?>
<comments xmlns="http://schemas.openxmlformats.org/spreadsheetml/2006/main">
  <authors>
    <author>Controller Accounting Ops. Co</author>
  </authors>
  <commentList>
    <comment ref="B12" authorId="0">
      <text>
        <r>
          <rPr>
            <b/>
            <sz val="8"/>
            <color indexed="81"/>
            <rFont val="Tahoma"/>
            <family val="2"/>
          </rPr>
          <t xml:space="preserve">Controller Accounting Ops. Co:
</t>
        </r>
        <r>
          <rPr>
            <sz val="8"/>
            <color indexed="81"/>
            <rFont val="Tahoma"/>
            <family val="2"/>
          </rPr>
          <t>salary "tied" 80% of transit operator</t>
        </r>
      </text>
    </comment>
  </commentList>
</comments>
</file>

<file path=xl/sharedStrings.xml><?xml version="1.0" encoding="utf-8"?>
<sst xmlns="http://schemas.openxmlformats.org/spreadsheetml/2006/main" count="1793" uniqueCount="830">
  <si>
    <t xml:space="preserve">BUDGET FORM 1A: Table Summary of Major Budget Changes </t>
  </si>
  <si>
    <t>DEPARTMENT:</t>
  </si>
  <si>
    <t>Major General Fund-Related Changes (Inclusive of Target and LOADED IN SYSTEM)</t>
  </si>
  <si>
    <t>Table 1</t>
  </si>
  <si>
    <t>Program Code</t>
  </si>
  <si>
    <t>Program Title</t>
  </si>
  <si>
    <t>FY 2015-16 General Fund Uses</t>
  </si>
  <si>
    <t>Non General Fund-Related Changes (LOADED IN SYSTEM)</t>
  </si>
  <si>
    <t>Table 2</t>
  </si>
  <si>
    <t>Explanation of increase or reduction and resulting service impact. Please note whether the reduction is on-going or one-time.</t>
  </si>
  <si>
    <t>FY 2015-16 FTE</t>
  </si>
  <si>
    <t>FY 2016-17 General Fund Uses</t>
  </si>
  <si>
    <t>FY2016-17 FTE</t>
  </si>
  <si>
    <t>Change in GF Uses in 
FY 2016-17 (year over year)</t>
  </si>
  <si>
    <t>Change in GF FTEs in 
FY 2016-17</t>
  </si>
  <si>
    <t>FY 2017-18 
General Fund Uses</t>
  </si>
  <si>
    <t xml:space="preserve">FY 2017-18 FTE </t>
  </si>
  <si>
    <t>Change in GF Uses in FY 2017-18 (year over year)</t>
  </si>
  <si>
    <t>Change in FTEs in 
FY 2017-18</t>
  </si>
  <si>
    <t>Change in FTEs in 
FY 2016-17</t>
  </si>
  <si>
    <t>Revenue Description &amp; Explanation of Change</t>
  </si>
  <si>
    <t>Subobject Title</t>
  </si>
  <si>
    <t>Sobj</t>
  </si>
  <si>
    <t>Obj</t>
  </si>
  <si>
    <t>Char</t>
  </si>
  <si>
    <t>Program</t>
  </si>
  <si>
    <t>Subfund</t>
  </si>
  <si>
    <t>GFS</t>
  </si>
  <si>
    <t>FILL IN</t>
  </si>
  <si>
    <t>NEW</t>
  </si>
  <si>
    <t>Budget System Report 15.40.007</t>
  </si>
  <si>
    <t>All submissions must be formatted appropriately so that printed copies are easily readable for the public.</t>
  </si>
  <si>
    <t>Please contact your Mayor's Office or Controller's Office Analyst if you need assistance running this report.</t>
  </si>
  <si>
    <r>
      <t>Note</t>
    </r>
    <r>
      <rPr>
        <sz val="11"/>
        <rFont val="Arial"/>
        <family val="2"/>
      </rPr>
      <t xml:space="preserve">: To submit this information, run the </t>
    </r>
    <r>
      <rPr>
        <b/>
        <sz val="11"/>
        <rFont val="Arial"/>
        <family val="2"/>
      </rPr>
      <t>15.40.007</t>
    </r>
    <r>
      <rPr>
        <sz val="11"/>
        <rFont val="Arial"/>
        <family val="2"/>
      </rPr>
      <t xml:space="preserve"> report from the budget system. </t>
    </r>
  </si>
  <si>
    <t>BUDGET FORM 2A: Revenue Report</t>
  </si>
  <si>
    <t xml:space="preserve">    If Auto CPI adjustment = No, FY 2015-16 and FY 2016-17 Fee will remain the same as previous year or entered by dept according to Code Authorization.</t>
  </si>
  <si>
    <t>Note:</t>
  </si>
  <si>
    <t>Discontinued</t>
  </si>
  <si>
    <t>D</t>
  </si>
  <si>
    <t>New</t>
  </si>
  <si>
    <t>N</t>
  </si>
  <si>
    <t>Modified</t>
  </si>
  <si>
    <t>M</t>
  </si>
  <si>
    <t>Continuing</t>
  </si>
  <si>
    <t>C</t>
  </si>
  <si>
    <t>Fee Status:</t>
  </si>
  <si>
    <t>Fee Prior to Last Increase</t>
  </si>
  <si>
    <t>Fiscal Year of Last Increase</t>
  </si>
  <si>
    <t>FY 2016-17 Cost Recovery (Est.)</t>
  </si>
  <si>
    <t>FY 2016-17 Revenue Proposed</t>
  </si>
  <si>
    <t>FY 2015-16 Cost Recovery (Est.)</t>
  </si>
  <si>
    <t>FY 2015-16 Units (Est.)</t>
  </si>
  <si>
    <t>Unit Basis (e.g.. per sq. ft./)</t>
  </si>
  <si>
    <t>Index</t>
  </si>
  <si>
    <t>Subobj</t>
  </si>
  <si>
    <t>Auto CPI Adjust Yes/No</t>
  </si>
  <si>
    <t>Code Authorization</t>
  </si>
  <si>
    <t>Description</t>
  </si>
  <si>
    <t>Fee Status</t>
  </si>
  <si>
    <t>Item</t>
  </si>
  <si>
    <t>TABLE 2 - CONTINUING FEES</t>
  </si>
  <si>
    <t>Fee Status M/N</t>
  </si>
  <si>
    <t>TABLE 1 - MODIFIED AND NEW FEES</t>
  </si>
  <si>
    <t>Inflation Factor for FY 2016-17 Fee Auto Increase as per Code Section **</t>
  </si>
  <si>
    <t>Budget Form 2B: Schedule of Licenses, Permits, Fines &amp; Service Charges</t>
  </si>
  <si>
    <t>Please identify proposed revenue changes from the FY 2016-17 Base Budget and the FY 2017-18 Department Proposed Budget at the program and subobject level.</t>
  </si>
  <si>
    <t>FY 14-15 Actual</t>
  </si>
  <si>
    <t>FY 15-16 CY Orig Budget</t>
  </si>
  <si>
    <t>FY 15-16 CY Orig Projected</t>
  </si>
  <si>
    <t>FY 16-17 BY Base Budget</t>
  </si>
  <si>
    <t>FY 16-17 BY Dept Proposed</t>
  </si>
  <si>
    <t>Change from FY 16-17 BY Base Budget</t>
  </si>
  <si>
    <t>FY 17-18 BY+1 Dept Proposed</t>
  </si>
  <si>
    <t>Change from FY 16-17 BY Dept Proposed</t>
  </si>
  <si>
    <t>For any proposed changes, fill in the columns for FY 2014-15 Actuals, FY 2015-16 Projection and the explanation of change.</t>
  </si>
  <si>
    <t>Inflation Factor for FY 2017-18 Fee Auto Increase as per Code Section **</t>
  </si>
  <si>
    <r>
      <t>CPI will be updated in January</t>
    </r>
    <r>
      <rPr>
        <b/>
        <u/>
        <sz val="11"/>
        <color indexed="12"/>
        <rFont val="Arial"/>
        <family val="2"/>
      </rPr>
      <t xml:space="preserve"> 2016</t>
    </r>
    <r>
      <rPr>
        <b/>
        <sz val="11"/>
        <color indexed="12"/>
        <rFont val="Arial"/>
        <family val="2"/>
      </rPr>
      <t>. Call Controller's Budget Office to confirm CPI before submitting.</t>
    </r>
  </si>
  <si>
    <t>FY 2015-16 Fee</t>
  </si>
  <si>
    <t>FY 2015-16 Revenue Budgeted</t>
  </si>
  <si>
    <t>FY 2016-17 Fee **</t>
  </si>
  <si>
    <t>FY 2016-17 Units (Est.)</t>
  </si>
  <si>
    <t>FY 2017-18  Fee **</t>
  </si>
  <si>
    <t>FY 2017-18  Units (Est.)</t>
  </si>
  <si>
    <t>FY 2017-18 Revenue Proposed</t>
  </si>
  <si>
    <t>FY 2017-18 Cost Recovery (Est.)</t>
  </si>
  <si>
    <t>** If Auto CPI adjustment = Yes, FY 2016-17 and FY 2017-18 Fee will be automatically generated based on the inflation factor determined by the Controller.</t>
  </si>
  <si>
    <t xml:space="preserve">Please provide supporting documentation for how Departmental overhead rate was derived. </t>
  </si>
  <si>
    <t>Source</t>
  </si>
  <si>
    <t>Rate</t>
  </si>
  <si>
    <t>Indirect Costs</t>
  </si>
  <si>
    <t>Total:</t>
  </si>
  <si>
    <t>Cost</t>
  </si>
  <si>
    <t>Please list and describe the costs of space/facility rental necessary to support the services provided. Add rows as necessary. Ensure that the 'Total' includes the sum of all rows with cost information.</t>
  </si>
  <si>
    <t>Other Costs</t>
  </si>
  <si>
    <t>Materials and Supplies</t>
  </si>
  <si>
    <t>Space Rental Equivalent</t>
  </si>
  <si>
    <t>Salary and Benefits Amount</t>
  </si>
  <si>
    <t>Hourly Rate</t>
  </si>
  <si>
    <t>Hours Worked</t>
  </si>
  <si>
    <t>Salary and Benefits Amount per FTE</t>
  </si>
  <si>
    <t>Job Class Title</t>
  </si>
  <si>
    <t>Job Class</t>
  </si>
  <si>
    <t>Please fill out the Salary and Benefits Amount per FTE column</t>
  </si>
  <si>
    <t>Hours per Unit of Service</t>
  </si>
  <si>
    <t>Description of Work</t>
  </si>
  <si>
    <t>JobClass</t>
  </si>
  <si>
    <t>Please also provide a description of the work and the estimated hours for each job class required to perform each unit of service</t>
  </si>
  <si>
    <t>Please use the worksheet below to list all job classes necessary to support the services provided. Add rows if necessary.</t>
  </si>
  <si>
    <t>Labor and Benefits</t>
  </si>
  <si>
    <t>Direct Costs</t>
  </si>
  <si>
    <t>Estimated Costs Worksheet FY 2017-18</t>
  </si>
  <si>
    <t>Payment facility</t>
  </si>
  <si>
    <t>Processes Payment</t>
  </si>
  <si>
    <t>Test</t>
  </si>
  <si>
    <t>Estimated Costs Worksheet FY 2016-17</t>
  </si>
  <si>
    <t>Worksheet 16-17</t>
  </si>
  <si>
    <t>FY 2017-18 Estimated Revenue Increase/Decrease Based on Proposed Fee [J - K]:</t>
  </si>
  <si>
    <t>L</t>
  </si>
  <si>
    <t>FY 2016-17 Estimated Revenue [ (2) x A ]:</t>
  </si>
  <si>
    <t>K</t>
  </si>
  <si>
    <t>FY 2017-18 Estimated Revenue [ (1) x A ]:</t>
  </si>
  <si>
    <t>J</t>
  </si>
  <si>
    <t>Over (+) or Under (-) 100% Cost Recovery (B-H):</t>
  </si>
  <si>
    <t>I</t>
  </si>
  <si>
    <t>Required Fee For 100% Cost Recovery (F/A):</t>
  </si>
  <si>
    <t>H</t>
  </si>
  <si>
    <t>FY 2017-18 Revenue Recovery Rate (C/F):</t>
  </si>
  <si>
    <t>G</t>
  </si>
  <si>
    <t>FY 2016-17 Direct &amp; Indirect Costs</t>
  </si>
  <si>
    <t>F</t>
  </si>
  <si>
    <t>FY 2016-17 Revenue Budgeted (A x B)</t>
  </si>
  <si>
    <t>Central Services Overhead</t>
  </si>
  <si>
    <t>Departmental Overhead</t>
  </si>
  <si>
    <t>E</t>
  </si>
  <si>
    <r>
      <t>Fee per Unit (</t>
    </r>
    <r>
      <rPr>
        <b/>
        <i/>
        <sz val="11"/>
        <rFont val="Arial"/>
        <family val="2"/>
      </rPr>
      <t>Proposed</t>
    </r>
    <r>
      <rPr>
        <b/>
        <sz val="11"/>
        <rFont val="Arial"/>
        <family val="2"/>
      </rPr>
      <t>)</t>
    </r>
  </si>
  <si>
    <t>B</t>
  </si>
  <si>
    <t>Other (Please Describe on Worksheet)</t>
  </si>
  <si>
    <t>Materials &amp; Supplies</t>
  </si>
  <si>
    <t>Leave &amp; Non-Productive Time (0.25 of FY 2013-14 Salary &amp; MFB)</t>
  </si>
  <si>
    <t>Productive Labor &amp; Benefits (0.75 of 2013-14 Salary &amp; MFB)</t>
  </si>
  <si>
    <t>(# of Units of Service Provided)</t>
  </si>
  <si>
    <t>% of Total</t>
  </si>
  <si>
    <t>FY 2016-17 Estimated Cost</t>
  </si>
  <si>
    <t>Quantity  Estimated</t>
  </si>
  <si>
    <t>A</t>
  </si>
  <si>
    <r>
      <t xml:space="preserve">ESTIMATED COSTS TO PROVIDE SERVICE - </t>
    </r>
    <r>
      <rPr>
        <b/>
        <sz val="11"/>
        <color rgb="FFFF0000"/>
        <rFont val="Arial"/>
        <family val="2"/>
      </rPr>
      <t>USE WORKSHEET_16-17 TAB</t>
    </r>
  </si>
  <si>
    <t xml:space="preserve"> ESTIMATED REVENUE DERIVED FROM SERVICE</t>
  </si>
  <si>
    <t>FY2017-18</t>
  </si>
  <si>
    <t>FY 2016-17 Estimated Revenue Increase/Decrease Based on Proposed Fee [J -K]:</t>
  </si>
  <si>
    <t>FY 2015-16 Estimated Revenue [ (3) x A ]:</t>
  </si>
  <si>
    <t xml:space="preserve">Over (+) or Under (-) 100% Cost Recovery (B-H) </t>
  </si>
  <si>
    <t>Required Fee For 100% Cost Recovery (F/A)</t>
  </si>
  <si>
    <t>FY 2016-17 Revenue Recovery Rate (C/F)</t>
  </si>
  <si>
    <t>FY 2015-16 Direct &amp; Indirect Costs</t>
  </si>
  <si>
    <t>FY 2015-16 Revenue Budgeted (A x B)</t>
  </si>
  <si>
    <t>Leave &amp; Non-Productive Time (0.25 of FY 2012-13 Salary &amp; MFB)</t>
  </si>
  <si>
    <t>Productive Labor &amp; Benefits (0.75 of 2012-13 Salary &amp; MFB)</t>
  </si>
  <si>
    <t>FY 2016-17
Estimated Cost</t>
  </si>
  <si>
    <r>
      <t xml:space="preserve">ESTIMATED COSTS TO PROVIDE SERVICE - </t>
    </r>
    <r>
      <rPr>
        <b/>
        <sz val="11"/>
        <color rgb="FFFF0000"/>
        <rFont val="Arial"/>
        <family val="2"/>
      </rPr>
      <t>USE WORKSHEET_15-16 TAB</t>
    </r>
  </si>
  <si>
    <t>FY2016-17</t>
  </si>
  <si>
    <t>% Current Fee Change from Prior Fee:</t>
  </si>
  <si>
    <t>Current Fee Increase/Decrease from Prior Fee:</t>
  </si>
  <si>
    <t>2010-11</t>
  </si>
  <si>
    <t>Fiscal Year of Prior Fee Change:</t>
  </si>
  <si>
    <t>Fee Prior to Current:</t>
  </si>
  <si>
    <t>FY 2016-17 % Proposed Fee Change from Current Fee:</t>
  </si>
  <si>
    <t>FY 2016-17 Proposed Fee Increase/Decrease:</t>
  </si>
  <si>
    <t>FY 2017-18 % Proposed Fee Change from FY 2016-17 Fee:</t>
  </si>
  <si>
    <t>FY 2017-18 Proposed Fee Increase/Decrease:</t>
  </si>
  <si>
    <t>Please provide description of service</t>
  </si>
  <si>
    <t>Detailed Service Description:</t>
  </si>
  <si>
    <t>(3)</t>
  </si>
  <si>
    <t>Current Fee    (FY 2015-16):</t>
  </si>
  <si>
    <t>(2)</t>
  </si>
  <si>
    <t>Proposed Fee (FY 2016-17):</t>
  </si>
  <si>
    <t>Fee Status (New/Modified):</t>
  </si>
  <si>
    <t>(1)</t>
  </si>
  <si>
    <t>Proposed Fee (FY 2017-18):</t>
  </si>
  <si>
    <t>Admin Code Section X.X</t>
  </si>
  <si>
    <t xml:space="preserve">Code Authorization/
Proposed Fee Ordinance/File No: </t>
  </si>
  <si>
    <t>6999X</t>
  </si>
  <si>
    <t xml:space="preserve">SubObject of Proposed Revenue: </t>
  </si>
  <si>
    <t xml:space="preserve">Jane Smart       </t>
  </si>
  <si>
    <t xml:space="preserve">Fee Administrator: </t>
  </si>
  <si>
    <t>99000X</t>
  </si>
  <si>
    <t xml:space="preserve">Index Code of Proposed Revenue: </t>
  </si>
  <si>
    <t>Department ABC</t>
  </si>
  <si>
    <t xml:space="preserve">Department Providing Service: </t>
  </si>
  <si>
    <t>Fee XYZ</t>
  </si>
  <si>
    <t xml:space="preserve">Fee Name:   </t>
  </si>
  <si>
    <t>ABC</t>
  </si>
  <si>
    <t xml:space="preserve">DEPARTMENT: </t>
  </si>
  <si>
    <t>PLEASE FILL OUT HIGHLIGHTED AREAS AND PROVIDE A DETAILED DESCRIPTION OF THE SERVICE</t>
  </si>
  <si>
    <t>Budget Form 2C: Fee Cost Recovery</t>
  </si>
  <si>
    <t>Explanation of Change for each Budget Year</t>
  </si>
  <si>
    <t>Change from FY 2017-18 Base Budget</t>
  </si>
  <si>
    <t>FY 2017-18 Dept Proposed</t>
  </si>
  <si>
    <t>FY 2017-18 Base Budget</t>
  </si>
  <si>
    <t>Change from FY 2016-17 Base Budget</t>
  </si>
  <si>
    <t>FY 2016-17 Dept Proposed</t>
  </si>
  <si>
    <t>FY 2016-17 Base Budget</t>
  </si>
  <si>
    <t>FY 2015-16 Orig Budget</t>
  </si>
  <si>
    <t>Subobject</t>
  </si>
  <si>
    <t>Budget System Report 15.40.006 Work Order Requests and Recoveries (at Subobject Level)</t>
  </si>
  <si>
    <t>Object Title</t>
  </si>
  <si>
    <t>Object</t>
  </si>
  <si>
    <t>Budget System Report 15.40.005 Expenditures (at Object Level)</t>
  </si>
  <si>
    <r>
      <t>Note</t>
    </r>
    <r>
      <rPr>
        <sz val="11"/>
        <rFont val="Arial"/>
        <family val="2"/>
      </rPr>
      <t xml:space="preserve">: To submit this information, please run the </t>
    </r>
    <r>
      <rPr>
        <b/>
        <sz val="11"/>
        <rFont val="Arial"/>
        <family val="2"/>
      </rPr>
      <t xml:space="preserve">15.40.005 </t>
    </r>
    <r>
      <rPr>
        <sz val="11"/>
        <rFont val="Arial"/>
        <family val="2"/>
      </rPr>
      <t xml:space="preserve">and </t>
    </r>
    <r>
      <rPr>
        <b/>
        <sz val="11"/>
        <rFont val="Arial"/>
        <family val="2"/>
      </rPr>
      <t>15.40.006</t>
    </r>
    <r>
      <rPr>
        <sz val="11"/>
        <rFont val="Arial"/>
        <family val="2"/>
      </rPr>
      <t xml:space="preserve"> reports from the budget system and fill in the column for the explanation of change.</t>
    </r>
  </si>
  <si>
    <t xml:space="preserve">Please identify proposed changes in expenditures from the FY 2016-17 base budget at the object level. </t>
  </si>
  <si>
    <t>DEPARTMENT NAME:</t>
  </si>
  <si>
    <t>BUDGET FORM 3A: Program Expenditure Report</t>
  </si>
  <si>
    <t>Reason for Variance or Missing</t>
  </si>
  <si>
    <t>BY+1 Dept Request Amt</t>
  </si>
  <si>
    <t>BY Dept Request Amt</t>
  </si>
  <si>
    <t>Subobject Code</t>
  </si>
  <si>
    <t>Character Code</t>
  </si>
  <si>
    <t>Grant Code</t>
  </si>
  <si>
    <t>Project Title</t>
  </si>
  <si>
    <t>Project Code</t>
  </si>
  <si>
    <t>Plan Index Code Title</t>
  </si>
  <si>
    <t>Plan Index Code Code</t>
  </si>
  <si>
    <t>FundStructure Title</t>
  </si>
  <si>
    <t>FundStructure Code</t>
  </si>
  <si>
    <t>GeneralFundSupportType</t>
  </si>
  <si>
    <t>Division Code</t>
  </si>
  <si>
    <t>Department Code</t>
  </si>
  <si>
    <t>Variance</t>
  </si>
  <si>
    <t>Cut and Paste from 15.20.012 report - 'details in eturn' tab</t>
  </si>
  <si>
    <t>Select Department Phase only</t>
  </si>
  <si>
    <r>
      <t>Note</t>
    </r>
    <r>
      <rPr>
        <sz val="11"/>
        <rFont val="Arial"/>
        <family val="2"/>
      </rPr>
      <t xml:space="preserve">: To submit this information, please run the </t>
    </r>
    <r>
      <rPr>
        <b/>
        <sz val="11"/>
        <rFont val="Arial"/>
        <family val="2"/>
      </rPr>
      <t xml:space="preserve">15.20.012 </t>
    </r>
    <r>
      <rPr>
        <sz val="11"/>
        <rFont val="Arial"/>
        <family val="2"/>
      </rPr>
      <t>report from the budget system, cut and paste the detailed results, and manually fill in the column for the explanation of change.</t>
    </r>
  </si>
  <si>
    <t>Please utilize the system to identify out of balance workorders and give a narrative explanation as to why the workorder is out of balance</t>
  </si>
  <si>
    <t>BUDGET FORM 3B: Workorder Balancing Report</t>
  </si>
  <si>
    <t xml:space="preserve">placeholder - submitted online. See instructions document, Form 5 for details. </t>
  </si>
  <si>
    <t>Form 5: COIT Project Request Form</t>
  </si>
  <si>
    <t>GRAND TOTAL</t>
  </si>
  <si>
    <t>Total Cost with Sales Tax</t>
  </si>
  <si>
    <t>Total Cost</t>
  </si>
  <si>
    <t>Cost Per Unit</t>
  </si>
  <si>
    <t>Number of Units</t>
  </si>
  <si>
    <t>Total mileage</t>
  </si>
  <si>
    <t>In-service date</t>
  </si>
  <si>
    <t>Make and model</t>
  </si>
  <si>
    <t>VIN</t>
  </si>
  <si>
    <t>Type (e.g. IT, Vehicle, Other)</t>
  </si>
  <si>
    <t>New/
Replace</t>
  </si>
  <si>
    <t>Index Code</t>
  </si>
  <si>
    <t>Priority #</t>
  </si>
  <si>
    <t>Fiscal Year</t>
  </si>
  <si>
    <t>Sales Tax:</t>
  </si>
  <si>
    <t>Information on vehicle being replaced</t>
  </si>
  <si>
    <t>NOTE: General Fund Departments may only use this table if they meet their reduction targets</t>
  </si>
  <si>
    <t>Departments should not budget in Objects 063 and 064</t>
  </si>
  <si>
    <t>Justifcation of Need</t>
  </si>
  <si>
    <t>Cost per Unit</t>
  </si>
  <si>
    <t>Do not load General Fund equipment requests in the budget system - they will be loaded centrally in Mayor phase.</t>
  </si>
  <si>
    <t>Equipment requests that are part of a Technology Project Proposal should be included on Form 5 only.  Do not list the same equipment requests on Forms 4 and 5.</t>
  </si>
  <si>
    <t xml:space="preserve">Departments that are making a General Fund equipment request that cannot be purchased within the proposed budget submission should complete this form.  </t>
  </si>
  <si>
    <t>FY16-17</t>
  </si>
  <si>
    <t>Replace</t>
  </si>
  <si>
    <t>FY15-16</t>
  </si>
  <si>
    <t>Vehicle</t>
  </si>
  <si>
    <t>BUDGET FORM 4: Equipment Report and Request</t>
  </si>
  <si>
    <t>Base Amt</t>
  </si>
  <si>
    <t>Base Units</t>
  </si>
  <si>
    <t>Equip Title</t>
  </si>
  <si>
    <t>EquipNo</t>
  </si>
  <si>
    <t>FundStr</t>
  </si>
  <si>
    <t>For replacement vehicles, please list additional information on the vehicle being replaced</t>
  </si>
  <si>
    <t>Copy and paste from an equipment report the fund, index code, equipment number, title, base units, and base amount</t>
  </si>
  <si>
    <t>Please list equipment already reviewed and approved by the Mayor's Budget Office, the Budget and Legislative Analyst, and the Board of Supervisors</t>
  </si>
  <si>
    <t xml:space="preserve">placeholder - submitted online. See instructions document, Form 6 for details. </t>
  </si>
  <si>
    <t>Form 6: Capital Budget Request Form</t>
  </si>
  <si>
    <t>TOTAL</t>
  </si>
  <si>
    <t xml:space="preserve">Interim Exception? (Y/N) If Yes - Explanation </t>
  </si>
  <si>
    <t>Explanation of Addition or Reduction</t>
  </si>
  <si>
    <t>FTE Count</t>
  </si>
  <si>
    <t>Total Salary and Fringe Amount</t>
  </si>
  <si>
    <t>FY 2017-18</t>
  </si>
  <si>
    <t>FY 2016-17</t>
  </si>
  <si>
    <t>Does this change result in a layoff (Y/N)</t>
  </si>
  <si>
    <t>Position Status Indicator</t>
  </si>
  <si>
    <t>Title</t>
  </si>
  <si>
    <t>Reference Number</t>
  </si>
  <si>
    <t>Position Action Indicator</t>
  </si>
  <si>
    <t>Budget System Report 15.40.025</t>
  </si>
  <si>
    <t xml:space="preserve">New positions should be budgeted at .77 FTE in their first year unless you are requesting an interim exception </t>
  </si>
  <si>
    <t>Please explain all position changes and indicate if the change will result in a layoff. (Report will automatically sort by Position Action Indicator)</t>
  </si>
  <si>
    <t xml:space="preserve">Please Run Report 15.40.025: Form 7 Position Changes from the Budget System.  </t>
  </si>
  <si>
    <t>Please indicate if you have no legislation in the box at the top of the form.</t>
  </si>
  <si>
    <t>NOTES:</t>
  </si>
  <si>
    <t>City Attorney Contact</t>
  </si>
  <si>
    <t>Includes Fee (Yes/No)</t>
  </si>
  <si>
    <t>Annualized FY 2017-18 
Revenue Increase/ (Decrease) 
or Expenditure Savings/ (Cost)</t>
  </si>
  <si>
    <t>Resulting FY 2016-17
Revenue Increase/ (Decrease) 
or Expenditure Savings/ (Cost)</t>
  </si>
  <si>
    <t>General Fund Impact?  
(Y/N)</t>
  </si>
  <si>
    <t>Description of Local Legislation</t>
  </si>
  <si>
    <r>
      <t xml:space="preserve">My department does </t>
    </r>
    <r>
      <rPr>
        <b/>
        <sz val="11"/>
        <rFont val="Arial"/>
        <family val="2"/>
      </rPr>
      <t>not</t>
    </r>
    <r>
      <rPr>
        <sz val="11"/>
        <rFont val="Arial"/>
        <family val="2"/>
      </rPr>
      <t xml:space="preserve"> require any legislation to be filed with either year's budget.</t>
    </r>
  </si>
  <si>
    <t>"x" if affirmation is true</t>
  </si>
  <si>
    <t>Affirmation</t>
  </si>
  <si>
    <t>Total # Years</t>
  </si>
  <si>
    <t>End (MM/DD/YY)</t>
  </si>
  <si>
    <t>Start (MM/DD/YY)</t>
  </si>
  <si>
    <t>Brief Explanation of Service Impact</t>
  </si>
  <si>
    <t>Change Contract Hours</t>
  </si>
  <si>
    <t>Net Change GFS           (D - C)</t>
  </si>
  <si>
    <t>Net Change Total             (B - A)</t>
  </si>
  <si>
    <t>Total Contract Hours</t>
  </si>
  <si>
    <t>Total GF Support (D)</t>
  </si>
  <si>
    <t>% GFS</t>
  </si>
  <si>
    <t>Proposed Budget Amount (B)</t>
  </si>
  <si>
    <t xml:space="preserve">Total GF Support (C) </t>
  </si>
  <si>
    <t>Original Budget Amount (A)</t>
  </si>
  <si>
    <t xml:space="preserve">Contract Term  </t>
  </si>
  <si>
    <t># Units</t>
  </si>
  <si>
    <t>Type of Unit (e.g. licenses, widgets, etc.)</t>
  </si>
  <si>
    <t>Fund</t>
  </si>
  <si>
    <t>Brief Service/ Product Description</t>
  </si>
  <si>
    <t>RFP in FY16-17 (Y/N)</t>
  </si>
  <si>
    <t>Non-Profit (Y/N)</t>
  </si>
  <si>
    <t>Contractor Name</t>
  </si>
  <si>
    <t xml:space="preserve">Changes 
(year over year) </t>
  </si>
  <si>
    <t>Proposed FY 2017-18
Contractor Data</t>
  </si>
  <si>
    <t>FY 2016-17 Changes - Contract Description</t>
  </si>
  <si>
    <t>Proposed FY 2017-18 
Contractor Data</t>
  </si>
  <si>
    <t>FY 2016-17 Contractor Data</t>
  </si>
  <si>
    <t>Data Processing Equipment - Lease/Purchase-Initial</t>
  </si>
  <si>
    <t>06161</t>
  </si>
  <si>
    <t>Software Licensing Fees</t>
  </si>
  <si>
    <t>03596</t>
  </si>
  <si>
    <t>Data Processing Equipment</t>
  </si>
  <si>
    <t>06061</t>
  </si>
  <si>
    <t>Data Processing Equipment Rental</t>
  </si>
  <si>
    <t>03111</t>
  </si>
  <si>
    <t>Data Bases - Library Only</t>
  </si>
  <si>
    <t>04973</t>
  </si>
  <si>
    <t>DP/WP (Data Processing/Word Processing) Equipment Maintenance</t>
  </si>
  <si>
    <t>02911</t>
  </si>
  <si>
    <t>Data Processing Supplies</t>
  </si>
  <si>
    <t>04921</t>
  </si>
  <si>
    <t>Systems Consulting Services</t>
  </si>
  <si>
    <t>02761</t>
  </si>
  <si>
    <t>* For ICT contracts list one of the Subobjects below to capture all IT related appropriations and expenditures:</t>
  </si>
  <si>
    <t>Subobject*</t>
  </si>
  <si>
    <t>RFP in FY 16-17 (Y/N)</t>
  </si>
  <si>
    <t>Changes</t>
  </si>
  <si>
    <t>FY 2017-18 Changes - Contract Description</t>
  </si>
  <si>
    <t>Email:</t>
  </si>
  <si>
    <t>Phone:</t>
  </si>
  <si>
    <t>Name:</t>
  </si>
  <si>
    <r>
      <rPr>
        <b/>
        <i/>
        <sz val="10"/>
        <color indexed="8"/>
        <rFont val="Arial"/>
        <family val="2"/>
      </rPr>
      <t>Contract Cost Contact</t>
    </r>
    <r>
      <rPr>
        <sz val="10"/>
        <color indexed="8"/>
        <rFont val="Arial"/>
        <family val="2"/>
      </rPr>
      <t>, if different from Department contact</t>
    </r>
  </si>
  <si>
    <t xml:space="preserve">Departmental Contact </t>
  </si>
  <si>
    <r>
      <t xml:space="preserve">City Savings from Contracting Out, </t>
    </r>
    <r>
      <rPr>
        <sz val="10"/>
        <color indexed="8"/>
        <rFont val="Arial"/>
        <family val="2"/>
      </rPr>
      <t>Savings/(Cost)</t>
    </r>
  </si>
  <si>
    <t xml:space="preserve">Contract Monitoring  </t>
  </si>
  <si>
    <t>Contract Cost</t>
  </si>
  <si>
    <r>
      <t xml:space="preserve">Less: City cost, given that services </t>
    </r>
    <r>
      <rPr>
        <b/>
        <u/>
        <sz val="10"/>
        <rFont val="Arial"/>
        <family val="2"/>
      </rPr>
      <t>are</t>
    </r>
    <r>
      <rPr>
        <b/>
        <sz val="10"/>
        <rFont val="Arial"/>
        <family val="2"/>
      </rPr>
      <t xml:space="preserve"> contracted out</t>
    </r>
  </si>
  <si>
    <t>Additional City Costs</t>
  </si>
  <si>
    <t>Total Fringe Benefits</t>
  </si>
  <si>
    <t xml:space="preserve">Total Other Pay </t>
  </si>
  <si>
    <t xml:space="preserve">Total Annual Salary </t>
  </si>
  <si>
    <t xml:space="preserve">high range </t>
  </si>
  <si>
    <t xml:space="preserve">low range </t>
  </si>
  <si>
    <r>
      <t xml:space="preserve">City cost, given that services </t>
    </r>
    <r>
      <rPr>
        <b/>
        <u/>
        <sz val="10"/>
        <rFont val="Arial"/>
        <family val="2"/>
      </rPr>
      <t xml:space="preserve">are not </t>
    </r>
    <r>
      <rPr>
        <b/>
        <sz val="10"/>
        <rFont val="Arial"/>
        <family val="2"/>
      </rPr>
      <t>contracted out</t>
    </r>
  </si>
  <si>
    <t xml:space="preserve">PROP J ANALYSIS SUMMARY </t>
  </si>
  <si>
    <t>Please Fill Out Highlighted Areas Only.</t>
  </si>
  <si>
    <t>4.  Fixed fringe benefits consist of health and dental rates plus an estimate of dependent coverage.</t>
  </si>
  <si>
    <t>3.  Variable fringe benefits consist of Social Security, Medicare, employer retirement, employee retirement pick-up and long-term disability, where applicable.</t>
  </si>
  <si>
    <t xml:space="preserve"> </t>
  </si>
  <si>
    <t>Comments/Assumptions:</t>
  </si>
  <si>
    <t>% of Savings to City Cost</t>
  </si>
  <si>
    <t>ESTIMATED SAVINGS</t>
  </si>
  <si>
    <t>LESS:  ESTIMATED TOTAL CONTRACT COST</t>
  </si>
  <si>
    <t>ESTIMATED TOTAL CITY COST</t>
  </si>
  <si>
    <t>Total Capital &amp; Operating</t>
  </si>
  <si>
    <r>
      <t>ADDITIONAL CITY COSTS</t>
    </r>
    <r>
      <rPr>
        <sz val="10"/>
        <rFont val="Arial"/>
        <family val="2"/>
      </rPr>
      <t xml:space="preserve"> (if applicable)</t>
    </r>
  </si>
  <si>
    <r>
      <t>Fixed Fringes</t>
    </r>
    <r>
      <rPr>
        <sz val="8"/>
        <rFont val="Arial"/>
        <family val="2"/>
      </rPr>
      <t xml:space="preserve"> (4)</t>
    </r>
  </si>
  <si>
    <r>
      <t xml:space="preserve">Variable Fringes </t>
    </r>
    <r>
      <rPr>
        <sz val="8"/>
        <color indexed="8"/>
        <rFont val="Arial"/>
        <family val="2"/>
      </rPr>
      <t>(3)</t>
    </r>
  </si>
  <si>
    <t>FRINGE BENEFITS</t>
  </si>
  <si>
    <t>Total Salary Costs</t>
  </si>
  <si>
    <t>Other Pay (if applicable)</t>
  </si>
  <si>
    <t>n/a</t>
  </si>
  <si>
    <t>Overtime Pay (if applicable)</t>
  </si>
  <si>
    <t>Night / Shift Differential (if applicable)</t>
  </si>
  <si>
    <t>Holiday Pay (if applicable)</t>
  </si>
  <si>
    <t>Y</t>
  </si>
  <si>
    <t>S</t>
  </si>
  <si>
    <t>Fixed ($)</t>
  </si>
  <si>
    <t>Variable High ($)</t>
  </si>
  <si>
    <t>Variable Low ($)</t>
  </si>
  <si>
    <t>Variable Rate (%)</t>
  </si>
  <si>
    <t>Union</t>
  </si>
  <si>
    <t>Retirement Indicator</t>
  </si>
  <si>
    <t>High</t>
  </si>
  <si>
    <t>Low</t>
  </si>
  <si>
    <t>Bi-Weekly Rate</t>
  </si>
  <si>
    <t># of Full Time Equivalent Positions</t>
  </si>
  <si>
    <t>Class</t>
  </si>
  <si>
    <t>PROJECTED PERSONNEL COSTS</t>
  </si>
  <si>
    <t>Fringe Benefits:</t>
  </si>
  <si>
    <t>ESTIMATED CITY COSTS:</t>
  </si>
  <si>
    <t>To Be Completed by Controller's Office:</t>
  </si>
  <si>
    <r>
      <t xml:space="preserve">COMPARATIVE COSTS OF CONTRACTING VS. IN-HOUSE SERVICES </t>
    </r>
    <r>
      <rPr>
        <sz val="8"/>
        <rFont val="Arial"/>
        <family val="2"/>
      </rPr>
      <t xml:space="preserve"> (1) (2)</t>
    </r>
  </si>
  <si>
    <t>[CONTRACT DESCRIPTION]</t>
  </si>
  <si>
    <t>For updated retirement rate information, please see Appendix A of the instructions document.</t>
  </si>
  <si>
    <t>[DEPARTMENT], [DIVISION]</t>
  </si>
  <si>
    <t>4. If contract cost is based on RFP, was the RFP for comparable services?  Was RFP for San Francisco?</t>
  </si>
  <si>
    <t>3. What year is your data from?</t>
  </si>
  <si>
    <t>2. What is the source of data used to calculate the contract cost?</t>
  </si>
  <si>
    <t>4)</t>
  </si>
  <si>
    <t>3)</t>
  </si>
  <si>
    <t>2)</t>
  </si>
  <si>
    <t>1)</t>
  </si>
  <si>
    <t>Include any private wage rates, population estimates, square footage estimates or other data used in calculating your contract cost.</t>
  </si>
  <si>
    <r>
      <t xml:space="preserve">1. </t>
    </r>
    <r>
      <rPr>
        <b/>
        <u/>
        <sz val="10"/>
        <color indexed="8"/>
        <rFont val="Arial"/>
        <family val="2"/>
      </rPr>
      <t>List all assumptions</t>
    </r>
    <r>
      <rPr>
        <b/>
        <sz val="10"/>
        <color indexed="8"/>
        <rFont val="Arial"/>
        <family val="2"/>
      </rPr>
      <t xml:space="preserve"> made in calculating contract cost.</t>
    </r>
  </si>
  <si>
    <t>Total Fringe High ($)</t>
  </si>
  <si>
    <t>Total Fringe Low ($)</t>
  </si>
  <si>
    <t>Fixed * FTE ($)</t>
  </si>
  <si>
    <t>Benefits:</t>
  </si>
  <si>
    <t>Please show all calculations made to estimate contract cost. Describe assumptions and source of data above.</t>
  </si>
  <si>
    <t xml:space="preserve">Low </t>
  </si>
  <si>
    <t>Biweekly Rate</t>
  </si>
  <si>
    <t># of FTEs</t>
  </si>
  <si>
    <t>Contract Cost Calculation:</t>
  </si>
  <si>
    <t>Salary:</t>
  </si>
  <si>
    <t>Does/would contract require monitoring? If yes, fill out the details below. If not, explain why.</t>
  </si>
  <si>
    <t>Estimated Contract Cost:</t>
  </si>
  <si>
    <t>Contract Monitoring Costs:</t>
  </si>
  <si>
    <t>Contract Cost Details</t>
  </si>
  <si>
    <t>7.  The Estimated Contract Cost for annual service is based upon contractor's bid for services and contract monitoring costs.</t>
  </si>
  <si>
    <t>6.  Capital &amp; operating costs for vehicles has been estimated based upon IRS mileage standards.</t>
  </si>
  <si>
    <t>5. Classification has been abolished; this analysis assumes the class would be reestablished with a compensation rate equivalent to related classes, estimated to be at 80% of the Transit Operator class.</t>
  </si>
  <si>
    <t>2.  Salary levels reflect proposed salary rates effective July 1, 2013. Costs are represented as annual 12 month costs.</t>
  </si>
  <si>
    <t>1.  FY 1983-84 was the first year these services were contracted out.</t>
  </si>
  <si>
    <r>
      <t xml:space="preserve">LESS:  ESTIMATED TOTAL CONTRACT COST </t>
    </r>
    <r>
      <rPr>
        <sz val="8"/>
        <rFont val="Arial"/>
        <family val="2"/>
      </rPr>
      <t>(7)</t>
    </r>
  </si>
  <si>
    <t>Claims</t>
  </si>
  <si>
    <t>364 2-Way Radios</t>
  </si>
  <si>
    <t>155 Vans</t>
  </si>
  <si>
    <t>200 Autos</t>
  </si>
  <si>
    <r>
      <t>ADDITIONAL CITY COSTS</t>
    </r>
    <r>
      <rPr>
        <u/>
        <sz val="8"/>
        <rFont val="Arial"/>
        <family val="2"/>
      </rPr>
      <t xml:space="preserve"> (6)</t>
    </r>
  </si>
  <si>
    <r>
      <t>Fixed Fringes</t>
    </r>
    <r>
      <rPr>
        <sz val="8"/>
        <rFont val="Arial"/>
        <family val="2"/>
      </rPr>
      <t xml:space="preserve"> (5)</t>
    </r>
  </si>
  <si>
    <r>
      <t xml:space="preserve">Variable Fringes </t>
    </r>
    <r>
      <rPr>
        <sz val="8"/>
        <color indexed="8"/>
        <rFont val="Arial"/>
        <family val="2"/>
      </rPr>
      <t>(4)</t>
    </r>
  </si>
  <si>
    <t>Night / Shift Differential</t>
  </si>
  <si>
    <t>Holiday Pay</t>
  </si>
  <si>
    <t>Senior Eligibility Worker</t>
  </si>
  <si>
    <t>Senior Clerk Typist</t>
  </si>
  <si>
    <t>Transit Supervisor</t>
  </si>
  <si>
    <t>Transit Manager I</t>
  </si>
  <si>
    <t>Transit Manager II</t>
  </si>
  <si>
    <t>Transit Car Cleaner</t>
  </si>
  <si>
    <t>Auto Service Worker</t>
  </si>
  <si>
    <t>Auto Mechanic</t>
  </si>
  <si>
    <t>Auto Mechanic Assistant Supervisor</t>
  </si>
  <si>
    <r>
      <t>Chauffeur</t>
    </r>
    <r>
      <rPr>
        <sz val="8"/>
        <rFont val="Arial"/>
        <family val="2"/>
      </rPr>
      <t xml:space="preserve">  (3)</t>
    </r>
  </si>
  <si>
    <t>Transit Operators</t>
  </si>
  <si>
    <t>PARATRANSIT SERVICES</t>
  </si>
  <si>
    <t>MUNICIPAL TRANSPORTATION AGENCY</t>
  </si>
  <si>
    <t>REG</t>
  </si>
  <si>
    <t>DPW</t>
  </si>
  <si>
    <t>Expected Annual Maintenace Cost</t>
  </si>
  <si>
    <t>Expected Useful Life</t>
  </si>
  <si>
    <t>Equipment Item Description and Purpose</t>
  </si>
  <si>
    <t>After receiving clearance from the Mayor's Office, Departments may load non-General Fund funded equipment in the budget system.</t>
  </si>
  <si>
    <t>Estimated Annual Maintenace Cost</t>
  </si>
  <si>
    <t>Estimated Useful Life</t>
  </si>
  <si>
    <t>Where applicable, include installation costs in the same line item budget request in the tables below.</t>
  </si>
  <si>
    <t>***NOTE ALL VEHICLE REQUESTS WILL BE REVIEWED BY FLEET MANAGEMENT***</t>
  </si>
  <si>
    <t>Brief  Description</t>
  </si>
  <si>
    <t>081H3, 081HZ, 081C4, 081UL, 081W1, 081W2.</t>
  </si>
  <si>
    <t xml:space="preserve">TABLE 4B: GENERAL FUND EQUIPMENT REQUEST </t>
  </si>
  <si>
    <t>BUDGET TABLE 4A: EQUIPMENT FUNDED DURING LAST YEAR'S BUDGET PROCESS</t>
  </si>
  <si>
    <t>All listed FY 2016-17 equipment should have an equipment number</t>
  </si>
  <si>
    <t xml:space="preserve">DEPARTMENTS ARE REMINDED TO VISIT THE VIRTUAL WAREHOUSE BEFORE REQUESTING NEW EQUIPMENT. </t>
  </si>
  <si>
    <t>BUDGET FORM 3C: Position Changes</t>
  </si>
  <si>
    <t>Form 3C: Describe all Position Changes</t>
  </si>
  <si>
    <t>EQUIPMENT: Items that are $5,000 or more and have a useful life of three years or more. Items failing to meet either threshold should be budgeted in materials and supplies and should not be included on this form.</t>
  </si>
  <si>
    <t>BUDGET FORM 2D: Local Legislative Changes Including Fee Changes Assumed in Submission</t>
  </si>
  <si>
    <t>Department Pair</t>
  </si>
  <si>
    <t>Performing Dept</t>
  </si>
  <si>
    <t>Requesting Dept</t>
  </si>
  <si>
    <t xml:space="preserve">Select 'Show Variances Only' </t>
  </si>
  <si>
    <t xml:space="preserve">Run the report for your department  </t>
  </si>
  <si>
    <t xml:space="preserve">Please enter "Pending Citywide Work order Load" as the explanation for the following citywide rate model subobjects: 081PF, 081PE, 081PA, 081RR, 081W6, 081LS, 081RE, 081FM, 081CX, 081H9, 081CB, 081SB, 081PR, 081PM, 081CI, 081C5, 081CW, 081ET,  </t>
  </si>
  <si>
    <t>Request Date:</t>
  </si>
  <si>
    <t xml:space="preserve">                                           DATE</t>
  </si>
  <si>
    <t>Requestor's Fax #:</t>
  </si>
  <si>
    <t>ONLINE FAMIS UPDATED ________________</t>
  </si>
  <si>
    <t>Requestor's Phone #:</t>
  </si>
  <si>
    <t>APPROVED BY:</t>
  </si>
  <si>
    <t xml:space="preserve">  </t>
  </si>
  <si>
    <t>APPROVED BY ________________________</t>
  </si>
  <si>
    <t xml:space="preserve">PREPARED BY (Requestor): </t>
  </si>
  <si>
    <t>CONTROLLER'S OFFICE</t>
  </si>
  <si>
    <t>END:</t>
  </si>
  <si>
    <r>
      <t>ACTUAL DATES</t>
    </r>
    <r>
      <rPr>
        <sz val="8"/>
        <color indexed="10"/>
        <rFont val="Arial"/>
        <family val="2"/>
      </rPr>
      <t>(mm/dd/yyyy)</t>
    </r>
    <r>
      <rPr>
        <sz val="8"/>
        <rFont val="Arial"/>
        <family val="2"/>
      </rPr>
      <t>:</t>
    </r>
    <r>
      <rPr>
        <b/>
        <sz val="9"/>
        <color indexed="62"/>
        <rFont val="Arial"/>
        <family val="2"/>
      </rPr>
      <t>START:</t>
    </r>
  </si>
  <si>
    <r>
      <t>PLAN DATES</t>
    </r>
    <r>
      <rPr>
        <sz val="8"/>
        <color indexed="10"/>
        <rFont val="Arial"/>
        <family val="2"/>
      </rPr>
      <t>(mm/dd/yyyy)</t>
    </r>
    <r>
      <rPr>
        <sz val="8"/>
        <rFont val="Arial"/>
        <family val="2"/>
      </rPr>
      <t xml:space="preserve">:       </t>
    </r>
    <r>
      <rPr>
        <b/>
        <sz val="9"/>
        <color indexed="62"/>
        <rFont val="Arial"/>
        <family val="2"/>
      </rPr>
      <t>START:</t>
    </r>
  </si>
  <si>
    <t xml:space="preserve"> PRJ COMPL IND</t>
  </si>
  <si>
    <t xml:space="preserve"> BILLING IND</t>
  </si>
  <si>
    <t xml:space="preserve">       IDC REIMBURSEMENT</t>
  </si>
  <si>
    <t xml:space="preserve">       FEDERAL CATALOG</t>
  </si>
  <si>
    <t xml:space="preserve">       DONOR AGENCY</t>
  </si>
  <si>
    <t xml:space="preserve">       RESPONSIBLE PERSON</t>
  </si>
  <si>
    <t xml:space="preserve">       LOCATION</t>
  </si>
  <si>
    <t>PP</t>
  </si>
  <si>
    <t xml:space="preserve">       CONTTP /FNDS CTL</t>
  </si>
  <si>
    <t>C=Capital   F=Facilities Maint   P=Programmatic    W=Work Order</t>
  </si>
  <si>
    <t xml:space="preserve">       PROJECT TYPE</t>
  </si>
  <si>
    <t>(Fields below this available if value = "N")</t>
  </si>
  <si>
    <t>LOWER LEVEL REQUIRED (Y/N)</t>
  </si>
  <si>
    <r>
      <t xml:space="preserve">TITLE </t>
    </r>
    <r>
      <rPr>
        <i/>
        <sz val="9"/>
        <color indexed="10"/>
        <rFont val="Arial"/>
        <family val="2"/>
      </rPr>
      <t>(up to 40 char)</t>
    </r>
  </si>
  <si>
    <t>must be 6 characters (includes DTL1 &amp; DTL2&amp;DTL3)</t>
  </si>
  <si>
    <r>
      <t xml:space="preserve">PROJECT DTL3 </t>
    </r>
    <r>
      <rPr>
        <i/>
        <sz val="9"/>
        <color indexed="23"/>
        <rFont val="Arial"/>
        <family val="2"/>
      </rPr>
      <t>(TASK) - 6 char FULL DTL :includes DTL1 , DTl2 &amp; DtL3</t>
    </r>
  </si>
  <si>
    <t>must be 4 characters (includes DTL1 &amp; DTL2)</t>
  </si>
  <si>
    <r>
      <t xml:space="preserve">PROJECT DTL2 </t>
    </r>
    <r>
      <rPr>
        <i/>
        <sz val="9"/>
        <color indexed="23"/>
        <rFont val="Arial"/>
        <family val="2"/>
      </rPr>
      <t>(ACTIVITY) - 4 char (includes DTL1 &amp; DTL2)</t>
    </r>
  </si>
  <si>
    <r>
      <t xml:space="preserve">PROJECT DTL1 </t>
    </r>
    <r>
      <rPr>
        <i/>
        <sz val="10"/>
        <color indexed="10"/>
        <rFont val="Arial"/>
        <family val="2"/>
      </rPr>
      <t>(PHASE) - 2 char</t>
    </r>
  </si>
  <si>
    <r>
      <rPr>
        <b/>
        <sz val="10"/>
        <color indexed="10"/>
        <rFont val="Arial"/>
        <family val="2"/>
      </rPr>
      <t>(Note:</t>
    </r>
    <r>
      <rPr>
        <sz val="10"/>
        <color indexed="10"/>
        <rFont val="Arial"/>
        <family val="2"/>
      </rPr>
      <t xml:space="preserve"> the lengths can not exceed the limit or your request will not be processed).</t>
    </r>
  </si>
  <si>
    <r>
      <rPr>
        <b/>
        <sz val="10"/>
        <rFont val="Arial"/>
        <family val="2"/>
      </rPr>
      <t>char count</t>
    </r>
    <r>
      <rPr>
        <b/>
        <sz val="10"/>
        <color indexed="10"/>
        <rFont val="Arial"/>
        <family val="2"/>
      </rPr>
      <t xml:space="preserve"> </t>
    </r>
  </si>
  <si>
    <t>PROJECT (6 char)</t>
  </si>
  <si>
    <t>controller's office use</t>
  </si>
  <si>
    <t>PROJ #</t>
  </si>
  <si>
    <t>DP CODE</t>
  </si>
  <si>
    <t>TYPE</t>
  </si>
  <si>
    <t>VALUE</t>
  </si>
  <si>
    <t>FIELD</t>
  </si>
  <si>
    <t xml:space="preserve"> Delete</t>
  </si>
  <si>
    <t xml:space="preserve"> Modify</t>
  </si>
  <si>
    <t>Purpose (if this project is of Project Type C: Capital Project):  ______</t>
  </si>
  <si>
    <t>Add</t>
  </si>
  <si>
    <t>Project must at least have 1 detail (or 8-char in length)</t>
  </si>
  <si>
    <t>PROJECTS</t>
  </si>
  <si>
    <t>ONLINE FAMIS TABLE MAINTENANCE FORM</t>
  </si>
  <si>
    <t>CITY AND COUNTY OF SAN FRANCISCO</t>
  </si>
  <si>
    <t>ONLINE FAMIS Input Screen FAML5300</t>
  </si>
  <si>
    <t>FAX # ______________________</t>
  </si>
  <si>
    <t xml:space="preserve">                                                                     DATE</t>
  </si>
  <si>
    <t xml:space="preserve">                        DATE</t>
  </si>
  <si>
    <t>PHONE # ____________________</t>
  </si>
  <si>
    <t>ONLINE FAMIS UPDATED _______________________</t>
  </si>
  <si>
    <t>ONLINE FAMIS UPDATED __________________</t>
  </si>
  <si>
    <t>APPROVED BY_____________________</t>
  </si>
  <si>
    <t xml:space="preserve">                       DATE</t>
  </si>
  <si>
    <t>APPROVED BY _______________________________</t>
  </si>
  <si>
    <t>APPROVED BY ___________________________</t>
  </si>
  <si>
    <t>PREPARED BY _____________________</t>
  </si>
  <si>
    <t>DEPARTMENT ______________________</t>
  </si>
  <si>
    <t>* Contact Controller's GFD</t>
  </si>
  <si>
    <t>END DATE  (MMDDYY)</t>
  </si>
  <si>
    <t>START DATE (MMDDYY)</t>
  </si>
  <si>
    <t>CASH CONTROL</t>
  </si>
  <si>
    <t>SPEND PLAN CONTROL</t>
  </si>
  <si>
    <t>ALLOTMENT CONTROL</t>
  </si>
  <si>
    <t>SUB-OBJECT</t>
  </si>
  <si>
    <t>USER CODE</t>
  </si>
  <si>
    <t>GRANT DETAIL</t>
  </si>
  <si>
    <t>GRANT</t>
  </si>
  <si>
    <t>PROJECT DETAIL</t>
  </si>
  <si>
    <t>PROJECT</t>
  </si>
  <si>
    <r>
      <t>ORGANIZATION</t>
    </r>
    <r>
      <rPr>
        <b/>
        <sz val="7"/>
        <rFont val="Arial"/>
        <family val="2"/>
      </rPr>
      <t xml:space="preserve"> </t>
    </r>
  </si>
  <si>
    <r>
      <t>DEPT. ACTIVITY</t>
    </r>
    <r>
      <rPr>
        <b/>
        <sz val="7"/>
        <rFont val="Arial"/>
        <family val="2"/>
      </rPr>
      <t xml:space="preserve"> </t>
    </r>
  </si>
  <si>
    <t xml:space="preserve">PROGRAM </t>
  </si>
  <si>
    <r>
      <t>SUBFUND</t>
    </r>
    <r>
      <rPr>
        <b/>
        <sz val="7"/>
        <rFont val="Arial"/>
        <family val="2"/>
      </rPr>
      <t xml:space="preserve"> </t>
    </r>
  </si>
  <si>
    <r>
      <t>FUND</t>
    </r>
    <r>
      <rPr>
        <b/>
        <sz val="7"/>
        <rFont val="Arial"/>
        <family val="2"/>
      </rPr>
      <t xml:space="preserve"> </t>
    </r>
  </si>
  <si>
    <r>
      <t>FUND TYPE</t>
    </r>
    <r>
      <rPr>
        <b/>
        <sz val="7"/>
        <rFont val="Arial"/>
        <family val="2"/>
      </rPr>
      <t xml:space="preserve"> </t>
    </r>
  </si>
  <si>
    <t>TITLE (40)</t>
  </si>
  <si>
    <r>
      <t xml:space="preserve">INDEX CODE </t>
    </r>
    <r>
      <rPr>
        <b/>
        <sz val="7"/>
        <rFont val="Arial"/>
        <family val="2"/>
      </rPr>
      <t xml:space="preserve"> </t>
    </r>
  </si>
  <si>
    <t>TITLE</t>
  </si>
  <si>
    <t>* Delete</t>
  </si>
  <si>
    <t>* Modify</t>
  </si>
  <si>
    <t>INDEX CODE</t>
  </si>
  <si>
    <t xml:space="preserve">Please identify major changes in department budget submission including your departments target proposal of 1.5% in each year.  </t>
  </si>
  <si>
    <t>FY 2015-16 Uses</t>
  </si>
  <si>
    <t>FY 2016-17 Uses</t>
  </si>
  <si>
    <t>Change in Uses in 
FY 2016-17 (year over year)</t>
  </si>
  <si>
    <t>FY 2017-18 Uses</t>
  </si>
  <si>
    <t>Change in Uses in FY 2017-18 (year over year)</t>
  </si>
  <si>
    <t>Resulting FY 2017-18
Revenue Increase/ (Decrease) 
or Expenditure Savings/ (Cost)</t>
  </si>
  <si>
    <t>Annualized FY 2018-19 
Revenue Increase/ (Decrease) 
or Expenditure Savings/ (Cost)</t>
  </si>
  <si>
    <t>Manual Entry</t>
  </si>
  <si>
    <r>
      <t>Equipment numbers will be assigned after the Mayor's Budget Office finalizes citywide equipment allocations.  Enterprise departments</t>
    </r>
    <r>
      <rPr>
        <sz val="11"/>
        <color rgb="FFFF0000"/>
        <rFont val="Arial"/>
        <family val="2"/>
      </rPr>
      <t xml:space="preserve"> should complete Table 4C (below) and  not Table 4B.</t>
    </r>
  </si>
  <si>
    <t>TABLE 4C: EQUIPMENT FUNDED IN OPERATING BUDGET</t>
  </si>
  <si>
    <t>BUDGET FORM 7A: Major Contract Changes (non-ICT)</t>
  </si>
  <si>
    <t>BUDGET FORM 7B: Changes for Enterprise IT and Telecom Contracts for Procurements and Services</t>
  </si>
  <si>
    <t>Proposed FY 2018-19
Contractor Data</t>
  </si>
  <si>
    <t>Proposed FY 2018-19 
Contractor Data</t>
  </si>
  <si>
    <t>FISCAL YEAR 2016-17</t>
  </si>
  <si>
    <t>General Fund departments wishing to fund equipment purchases in their operating budget may request to do so by filling out the below form.</t>
  </si>
  <si>
    <t>NOTE - This form should go directly to Central Shops. Please see instructions document, Appendix B.</t>
  </si>
  <si>
    <t>BUDGET FORM 8A: Project Code Request</t>
  </si>
  <si>
    <t>by Controller’s Office.  Following completion, email form to your Controller’s Office Fund Accountant.</t>
  </si>
  <si>
    <r>
      <rPr>
        <b/>
        <sz val="11"/>
        <rFont val="Arial"/>
        <family val="2"/>
      </rPr>
      <t>To Be Completed By</t>
    </r>
    <r>
      <rPr>
        <sz val="11"/>
        <rFont val="Arial"/>
        <family val="2"/>
      </rPr>
      <t>: All Departments requiring Controller’s Office new FAMIS project code setup.</t>
    </r>
  </si>
  <si>
    <r>
      <rPr>
        <b/>
        <sz val="11"/>
        <rFont val="Arial"/>
        <family val="2"/>
      </rPr>
      <t>Instructions:</t>
    </r>
    <r>
      <rPr>
        <sz val="11"/>
        <rFont val="Arial"/>
        <family val="2"/>
      </rPr>
      <t xml:space="preserve"> This form should be completed when requesting new project codes to be added to FAMIS </t>
    </r>
  </si>
  <si>
    <t>BUDGET FORM 8B: Index Code Request</t>
  </si>
  <si>
    <r>
      <rPr>
        <b/>
        <sz val="11"/>
        <rFont val="Arial"/>
        <family val="2"/>
      </rPr>
      <t>Instructions:</t>
    </r>
    <r>
      <rPr>
        <sz val="11"/>
        <rFont val="Arial"/>
        <family val="2"/>
      </rPr>
      <t xml:space="preserve"> This form should be completed when requesting new index codes to be added to FAMIS </t>
    </r>
  </si>
  <si>
    <r>
      <rPr>
        <b/>
        <sz val="11"/>
        <rFont val="Arial"/>
        <family val="2"/>
      </rPr>
      <t>To Be Completed By</t>
    </r>
    <r>
      <rPr>
        <sz val="11"/>
        <rFont val="Arial"/>
        <family val="2"/>
      </rPr>
      <t>: All Departments requiring Controller’s Office new FAMIS index code setup.</t>
    </r>
  </si>
  <si>
    <t xml:space="preserve">A PDF version of the below is also available from: </t>
  </si>
  <si>
    <t>http://admweb/AdminServices/Fleetmgmt/DocsForms/CityVehicleProcurementWorkshop/VehicleAcquisitionRequestFormFMCS%20100-2015.pdf</t>
  </si>
  <si>
    <t>AAA</t>
  </si>
  <si>
    <t>FCH</t>
  </si>
  <si>
    <t>ELECTIONS</t>
  </si>
  <si>
    <t>001</t>
  </si>
  <si>
    <t>PERMANENT SALARIES-MISC</t>
  </si>
  <si>
    <t>005</t>
  </si>
  <si>
    <t>TEMP SALARIES-MISC</t>
  </si>
  <si>
    <t>009</t>
  </si>
  <si>
    <t>PREMIUM PAY</t>
  </si>
  <si>
    <t>011</t>
  </si>
  <si>
    <t>OVERTIME</t>
  </si>
  <si>
    <t>012</t>
  </si>
  <si>
    <t>HOLIDAY PAY</t>
  </si>
  <si>
    <t>013</t>
  </si>
  <si>
    <t>RETIREMENT</t>
  </si>
  <si>
    <t>014</t>
  </si>
  <si>
    <t>SOCIAL SECURITY</t>
  </si>
  <si>
    <t>015</t>
  </si>
  <si>
    <t>HEALTH SERVICE</t>
  </si>
  <si>
    <t>016</t>
  </si>
  <si>
    <t>DENTAL COVERAGE</t>
  </si>
  <si>
    <t>017</t>
  </si>
  <si>
    <t>UNEMPLOYMENT INSURANCE</t>
  </si>
  <si>
    <t>019</t>
  </si>
  <si>
    <t>OTHER FRINGE BENEFITS</t>
  </si>
  <si>
    <t>021</t>
  </si>
  <si>
    <t>TRAVEL</t>
  </si>
  <si>
    <t>022</t>
  </si>
  <si>
    <t>TRAINING</t>
  </si>
  <si>
    <t>023</t>
  </si>
  <si>
    <t>EMPLOYEE EXPENSES</t>
  </si>
  <si>
    <t>024</t>
  </si>
  <si>
    <t>MEMBERSHIP FEES</t>
  </si>
  <si>
    <t>026</t>
  </si>
  <si>
    <t>COURT FEES AND OTHER COMPENSATION</t>
  </si>
  <si>
    <t>027</t>
  </si>
  <si>
    <t>PROFESSIONAL &amp; SPECIALIZED SERVICES</t>
  </si>
  <si>
    <t>028</t>
  </si>
  <si>
    <t>MAINTENANCE SVCS-BUILDING &amp; STRUCTURES</t>
  </si>
  <si>
    <t>029</t>
  </si>
  <si>
    <t>MAINTENANCE SVCS-EQUIPMENT</t>
  </si>
  <si>
    <t>030</t>
  </si>
  <si>
    <t>RENTS &amp; LEASES-BUILDINGS &amp; STRUCTURES</t>
  </si>
  <si>
    <t>031</t>
  </si>
  <si>
    <t>RENTS &amp; LEASES-EQUIPMENT</t>
  </si>
  <si>
    <t>035</t>
  </si>
  <si>
    <t>OTHER CURRENT EXPENSES</t>
  </si>
  <si>
    <t>052</t>
  </si>
  <si>
    <t>TAXES; LICENSES &amp; PERMITS</t>
  </si>
  <si>
    <t>040</t>
  </si>
  <si>
    <t>042</t>
  </si>
  <si>
    <t>BUILDING &amp; CONSTRUCTION SUPPLIES</t>
  </si>
  <si>
    <t>043</t>
  </si>
  <si>
    <t>EQUIPMENT MAINTENANCE SUPPLIES</t>
  </si>
  <si>
    <t>045</t>
  </si>
  <si>
    <t>SAFETY</t>
  </si>
  <si>
    <t>046</t>
  </si>
  <si>
    <t>FOOD</t>
  </si>
  <si>
    <t>049</t>
  </si>
  <si>
    <t>OTHER MATERIALS &amp; SUPPLIES</t>
  </si>
  <si>
    <t>060</t>
  </si>
  <si>
    <t>EQUIPMENT PURCHASE</t>
  </si>
  <si>
    <t>064</t>
  </si>
  <si>
    <t>EQPT LEASE/PURCH-CITY FIN AGCY-OPT RENEW</t>
  </si>
  <si>
    <t>081</t>
  </si>
  <si>
    <t>081C5</t>
  </si>
  <si>
    <t>IS-TIS-ISD SERVICES</t>
  </si>
  <si>
    <t>081CA</t>
  </si>
  <si>
    <t>GF-ADM-GENERAL(AAO)</t>
  </si>
  <si>
    <t>081CB</t>
  </si>
  <si>
    <t>GF-RISK MANAGEMENT SERVICES (AAO)</t>
  </si>
  <si>
    <t>081CI</t>
  </si>
  <si>
    <t>IS-TIS-ISD SERVICES-INFRASTRUCTURE COST</t>
  </si>
  <si>
    <t>081ET</t>
  </si>
  <si>
    <t>GF-TIS-TELEPHONE(AAO)</t>
  </si>
  <si>
    <t>081FM</t>
  </si>
  <si>
    <t>GF-GSA-FACILITIES MANAGEMENT SERVICES</t>
  </si>
  <si>
    <t>081H4</t>
  </si>
  <si>
    <t>GF-HR-CLIENT SRVS/RECRUIT/ASSESS</t>
  </si>
  <si>
    <t>081M2</t>
  </si>
  <si>
    <t>GF-CHF-YOUTH WORKS</t>
  </si>
  <si>
    <t>081PA</t>
  </si>
  <si>
    <t>IS-PURCH-CENTRAL SHOPS-AUTO MAINT</t>
  </si>
  <si>
    <t>081PE</t>
  </si>
  <si>
    <t>IS-PURCH-VEHICLE LEASING (AAO)</t>
  </si>
  <si>
    <t>081PF</t>
  </si>
  <si>
    <t>IS-PURCH-CENTRAL SHOPS-FUEL STOCK</t>
  </si>
  <si>
    <t>081PK</t>
  </si>
  <si>
    <t>GF-PARKING &amp; TRAFFIC</t>
  </si>
  <si>
    <t>081PM</t>
  </si>
  <si>
    <t>GF-PURCH-MAIL SERVICES</t>
  </si>
  <si>
    <t>081PR</t>
  </si>
  <si>
    <t>IS-PURCH-REPRODUCTION</t>
  </si>
  <si>
    <t>081SH</t>
  </si>
  <si>
    <t>GF-SHERIFF</t>
  </si>
  <si>
    <t>081UL</t>
  </si>
  <si>
    <t>GF-PUC-LIGHT HEAT &amp; POWER</t>
  </si>
  <si>
    <t>081WB</t>
  </si>
  <si>
    <t>SR-DPW-BUILDING REPAIR</t>
  </si>
  <si>
    <t>086</t>
  </si>
  <si>
    <t>086RS</t>
  </si>
  <si>
    <t>EXP REC FR RETIREMENT SYSTEM (AAO)</t>
  </si>
  <si>
    <t>REG DPW</t>
  </si>
  <si>
    <t>REGAA</t>
  </si>
  <si>
    <t>1GAGFAAA</t>
  </si>
  <si>
    <t>GF-NON-PROJECT-CONTROLLED</t>
  </si>
  <si>
    <t>805002</t>
  </si>
  <si>
    <t>REGIS VOTERS-EXP</t>
  </si>
  <si>
    <t>DFM</t>
  </si>
  <si>
    <t>Election Information Management System</t>
  </si>
  <si>
    <t>1GAGF</t>
  </si>
  <si>
    <t>management system</t>
  </si>
  <si>
    <t xml:space="preserve">The cost increase each fiscal year is based on the contractual agreement with the vendor. </t>
  </si>
  <si>
    <t>Runbeck</t>
  </si>
  <si>
    <t xml:space="preserve">Agilis Ballot Counting Machine </t>
  </si>
  <si>
    <t>maintenance and license</t>
  </si>
  <si>
    <t>Election Voting Equipment</t>
  </si>
  <si>
    <t>Annual maintenance and license fees</t>
  </si>
  <si>
    <t>Election Services</t>
  </si>
  <si>
    <t>CANDIDATE FILING FEE - SCHOOL BOARD</t>
  </si>
  <si>
    <t>SF MEC § 810</t>
  </si>
  <si>
    <t xml:space="preserve">No </t>
  </si>
  <si>
    <t>Per Candidate</t>
  </si>
  <si>
    <t>CANDIDATE FILING FEE - COMMUNITY COLLEGE BOARD</t>
  </si>
  <si>
    <t>BOARD OF SUPERVISOR #  1</t>
  </si>
  <si>
    <t>BOARD OF SUPERVISOR #  2</t>
  </si>
  <si>
    <t>BOARD OF SUPERVISOR # 3</t>
  </si>
  <si>
    <t>BOARD OF SUPERVISOR # 4</t>
  </si>
  <si>
    <t>BOARD OF SUPERVISOR #  5</t>
  </si>
  <si>
    <t>BOARD OF SUPERVISOR #  6</t>
  </si>
  <si>
    <t>BOARD OF SUPERVISOR #  7</t>
  </si>
  <si>
    <t>BOARD OF SUPERVISOR #  8</t>
  </si>
  <si>
    <t>BOARD OF SUPERVISOR #  9</t>
  </si>
  <si>
    <t>BOARD OF SUPERVISOR #  10</t>
  </si>
  <si>
    <t>BOARD OF SUPERVISOR #  11</t>
  </si>
  <si>
    <t>MAYOR</t>
  </si>
  <si>
    <t>DISTRICT ATTORNEY</t>
  </si>
  <si>
    <t>SHERIFF</t>
  </si>
  <si>
    <t>CITY ATTORNEY</t>
  </si>
  <si>
    <t>TREASURER</t>
  </si>
  <si>
    <t>ASSESSOR-RECORDER</t>
  </si>
  <si>
    <t>PUBLIC DEFENDER</t>
  </si>
  <si>
    <t xml:space="preserve">SUPERIOR COURT JUDGES </t>
  </si>
  <si>
    <t>CAEC § 8104 (b)</t>
  </si>
  <si>
    <t>SUPERIOR COURT JUDGES CANDIDATE STATEMENT</t>
  </si>
  <si>
    <t>CAEC § 13307 [c]</t>
  </si>
  <si>
    <t>Per Statement</t>
  </si>
  <si>
    <t>STATE ASSEMBLY 17 CANDIDATE STATEMENT</t>
  </si>
  <si>
    <t>STATE ASSEMBLY 19 CANDIDATE STATEMENT</t>
  </si>
  <si>
    <t>STATE SENATE 11 CANDIDATE STATEMENT</t>
  </si>
  <si>
    <t>CONGRESSIONAL 12 CANDIDATE STATEMENT</t>
  </si>
  <si>
    <t>CONGRESSIONAL 14 CANDIDATE STATEMENT</t>
  </si>
  <si>
    <t>BART DISTRICT 7 CANDIDATE STATEMENT</t>
  </si>
  <si>
    <t xml:space="preserve">BART Resolution </t>
  </si>
  <si>
    <t>BART DISTRICT 8 CANDIDATE STATEMENT</t>
  </si>
  <si>
    <t>BART DISTRICT 9 CANDIDATE STATEMENT</t>
  </si>
  <si>
    <t>PAID BALLOT ARGUMENTS</t>
  </si>
  <si>
    <t>SF MEC § 830</t>
  </si>
  <si>
    <t>Per Argument (plus $2 per word after 200 words)</t>
  </si>
  <si>
    <t>ORDINANCE SUBMISSION</t>
  </si>
  <si>
    <t>SF MEC § 820</t>
  </si>
  <si>
    <t>Per Measure</t>
  </si>
  <si>
    <t>CHARTER AMENDMENT SUBMISSION</t>
  </si>
  <si>
    <t>DECLARATION OF POLICY SUBMISSION</t>
  </si>
  <si>
    <t>CDs Master Voter File/AV File/Voter File/Precinct Districts/GIS File</t>
  </si>
  <si>
    <t>SF Admin Code § 67.28</t>
  </si>
  <si>
    <t>Per File</t>
  </si>
  <si>
    <t xml:space="preserve">CERTIFICATES OF REGISTRATION </t>
  </si>
  <si>
    <t>CAEC § 2167</t>
  </si>
  <si>
    <t>Per Certificate</t>
  </si>
  <si>
    <t>Maps - CCSF Supervisorial districts/precincts</t>
  </si>
  <si>
    <t>Per Map</t>
  </si>
  <si>
    <t>Document copies</t>
  </si>
  <si>
    <t>Per Copy</t>
  </si>
  <si>
    <t>DISTRICT REIMBURSEMENT (CCD, SFUSD, BART)</t>
  </si>
  <si>
    <t>CEC 10002 &amp; 10520</t>
  </si>
  <si>
    <t>Per Fiscal Year</t>
  </si>
  <si>
    <t>Total</t>
  </si>
  <si>
    <t>2</t>
  </si>
  <si>
    <t>1408_C</t>
  </si>
  <si>
    <t>Principal Clerk</t>
  </si>
  <si>
    <t>1950_C</t>
  </si>
  <si>
    <t>Assistant Purchaser</t>
  </si>
  <si>
    <t>9991M_Z</t>
  </si>
  <si>
    <t>One Day Adjustment - Misc</t>
  </si>
  <si>
    <t>4</t>
  </si>
  <si>
    <t>9770_C</t>
  </si>
  <si>
    <t>Community Development Assistant</t>
  </si>
  <si>
    <t>T</t>
  </si>
  <si>
    <t>1</t>
  </si>
  <si>
    <t>1220_C</t>
  </si>
  <si>
    <t>Payroll Clerk</t>
  </si>
  <si>
    <t>1222_C</t>
  </si>
  <si>
    <t>Senior Payroll And Personnel Clerk</t>
  </si>
  <si>
    <t>3</t>
  </si>
  <si>
    <t>1410_C</t>
  </si>
  <si>
    <t>Chief Clerk</t>
  </si>
  <si>
    <t>1844_C</t>
  </si>
  <si>
    <t>Senior Management Assistant</t>
  </si>
  <si>
    <t>Junior Clerk</t>
  </si>
  <si>
    <t>1402</t>
  </si>
  <si>
    <t xml:space="preserve">Chief Clerk </t>
  </si>
  <si>
    <t>1410</t>
  </si>
  <si>
    <t xml:space="preserve">Junior Management Assistant </t>
  </si>
  <si>
    <t>1840</t>
  </si>
  <si>
    <t>1. FY2007-08 was the first year these services were contracted out.</t>
  </si>
  <si>
    <t>2.  Salary levels reflect proposed salary rates effective October 10, 2015. Costs are represented as annual 12 month costs.</t>
  </si>
  <si>
    <t xml:space="preserve">The Department estimates that for the June 2018 Gubernatorial Primary election, the assembly and preparation of approximately 350,000 vote-by-mail packets, each consisting of a 3-card ballot and an insert, would take approximately 32,254 hours if performed by the Department employees. To calculate the cost over 26 pay periods, the total number of hours anticipated to complete the project was divided by 2,080 work hours in a FY, resulting in 16.2 FTEs.  </t>
  </si>
  <si>
    <t xml:space="preserve">Department of Elections </t>
  </si>
  <si>
    <t xml:space="preserve">Assembly of Vote-By-Mail Packets </t>
  </si>
  <si>
    <t>FISCAL YEAR 2017-18</t>
  </si>
  <si>
    <t xml:space="preserve">Yes </t>
  </si>
  <si>
    <t xml:space="preserve">There is one scheduled election in FY2017-18- June 2018 Gubernatorial Primary  Election. The total estimated contract cost for FY2017-18 is based on the K&amp;H Integrated Print Solutions quote for the services associated with the assembly and preparation of the vote-by-mail packets that are anticipated to be performed for the June 2018 election (a three-card ballot election). The estimated was provided in January 2016.  
</t>
  </si>
  <si>
    <t xml:space="preserve">Increase in both fiscal years is due to position substitutions noted on form 3C. </t>
  </si>
  <si>
    <t xml:space="preserve">Negative amount loaded into this object is an entry error and was not made by the Department. The Department has corrected this error by zeroing out negative amount in both fiscal years. </t>
  </si>
  <si>
    <t xml:space="preserve">Increase in both fiscal years is driven by increases in ballot production, assembly, and mailing; VIP production and mailing; and outreach mailers, public service announcements. </t>
  </si>
  <si>
    <t xml:space="preserve">Name: </t>
  </si>
  <si>
    <t xml:space="preserve">Nataliya Kuzina </t>
  </si>
  <si>
    <t>415-554-5683</t>
  </si>
  <si>
    <t>nataliya.kuzina@sfgov.org</t>
  </si>
  <si>
    <t xml:space="preserve">Increase in both fiscal years is primarily due to increases in warehouse rent beginning January 2017. Other factors that added to this increase are planned participation in additional street fairs/festivals to conduct outreach during Presidential election cycle, and increases in parking fees for rental vehicles. </t>
  </si>
  <si>
    <t xml:space="preserve">Increase in both fiscal years is due to additional vehicle rental costs that are based on the actual costs incurred in the November 2015 election. </t>
  </si>
  <si>
    <t xml:space="preserve">Decrease in both fiscal years is due to relocation of funds between two objects. Funds for Grainger purchases from object 42 are now budgeted in object 49. This change is necessary based on the GSA's actual charging of these expenditures in FY15-16. </t>
  </si>
  <si>
    <t xml:space="preserve">This increase is offset by the decrease in object 42. </t>
  </si>
  <si>
    <t xml:space="preserve">Decrease in both fiscal years is due to recent purchase of new ballot processing equipment that resulted in having to employ fewer staff to process vote-by-mail ballots. </t>
  </si>
  <si>
    <t xml:space="preserve">Projection is based on the service agreement with the performing department, </t>
  </si>
  <si>
    <t xml:space="preserve">FY1617: This increase is due to the scheduled Retirement Board election for which the Department will seek printing and mailing services. The Department is still in the process of finalizing this amount with the performing department. </t>
  </si>
  <si>
    <t>Dominion Voting Systems</t>
  </si>
  <si>
    <t>The Department proposes to substitute a 1950 position for a 1408 position to conform the duties  performed by an incumbent with the City-wide job specifications. This position is allocated in the Administration division and performs duties associated with budget, purchasing, and information coordination.</t>
  </si>
  <si>
    <t xml:space="preserve">The Department proposes to substitute a 9770 position for a 1408 position to conform the duties  performed by an incumbent with the City-wide job specifications. This position is allocated in the Campaign Services division and performs duties associated with candidate filing and intake of ballot arguments, observer panel, and SFVote public inquiry mechanism. </t>
  </si>
  <si>
    <t>A reclassification of 1220 to 1222 is an existing reclassification that occurred and were approved by Human Resources during FY2015-16.</t>
  </si>
  <si>
    <t>A reclassification of 1410 to 1844 is an existing reclassification that occurred and were approved by Human Resources during FY2015-16.</t>
  </si>
  <si>
    <t>Creation of ballot in Filipino</t>
  </si>
  <si>
    <t xml:space="preserve">Creation of ballot in Filipino is absorbed by increase in costs associated with election services beginning in 2017.  </t>
  </si>
  <si>
    <t>Although no contract extension has been negotiated, the vendor has provided an initial pricing structure for a possible extension starting in 2017.  These initial costs are $482,875 for annual maintenance and license fees and $662,004 election services.</t>
  </si>
  <si>
    <t xml:space="preserve">The overall increase is due to an initial pricing structure provided by Dominion Voting Systems for a possible contract extension starting in 2017. Additionally, $300,000 are budgeted for Open Source Voting System Planning &amp; Assessment Phase and $2,000,000 for Implementation Phase in FY16-17.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</si>
</sst>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quot;$&quot;#,##0.00"/>
    <numFmt numFmtId="168" formatCode="0.0"/>
    <numFmt numFmtId="169" formatCode="_(* #,##0.0_);_(* \(#,##0.0\);_(* &quot;-&quot;?_);_(@_)"/>
    <numFmt numFmtId="170" formatCode="#,##0.0000_);\(#,##0.0000\)"/>
    <numFmt numFmtId="171" formatCode="#,##0.0_);\(#,##0.0\)"/>
    <numFmt numFmtId="172" formatCode="0_);\(0\)"/>
    <numFmt numFmtId="173" formatCode="mm/dd/yy;@"/>
  </numFmts>
  <fonts count="124" x14ac:knownFonts="1">
    <font>
      <sz val="11"/>
      <color theme="1"/>
      <name val="Calibri"/>
      <family val="2"/>
      <scheme val="minor"/>
    </font>
    <font>
      <sz val="11"/>
      <color theme="1"/>
      <name val="Calibri"/>
      <family val="2"/>
      <scheme val="minor"/>
    </font>
    <font>
      <sz val="10"/>
      <name val="Arial"/>
      <family val="2"/>
    </font>
    <font>
      <b/>
      <sz val="14"/>
      <name val="Arial"/>
      <family val="2"/>
    </font>
    <font>
      <b/>
      <sz val="11"/>
      <name val="Arial"/>
      <family val="2"/>
    </font>
    <font>
      <sz val="11"/>
      <name val="Arial"/>
      <family val="2"/>
    </font>
    <font>
      <sz val="14"/>
      <name val="Arial"/>
      <family val="2"/>
    </font>
    <font>
      <b/>
      <sz val="12"/>
      <name val="Arial"/>
      <family val="2"/>
    </font>
    <font>
      <sz val="12"/>
      <name val="Arial"/>
      <family val="2"/>
    </font>
    <font>
      <b/>
      <u/>
      <sz val="11"/>
      <name val="Arial"/>
      <family val="2"/>
    </font>
    <font>
      <sz val="12"/>
      <color theme="1"/>
      <name val="Times New Roman"/>
      <family val="2"/>
    </font>
    <font>
      <sz val="12"/>
      <color indexed="8"/>
      <name val="Times New Roman"/>
      <family val="2"/>
    </font>
    <font>
      <u/>
      <sz val="10"/>
      <color indexed="12"/>
      <name val="Arial"/>
      <family val="2"/>
    </font>
    <font>
      <sz val="11"/>
      <color indexed="8"/>
      <name val="Arial"/>
      <family val="2"/>
    </font>
    <font>
      <b/>
      <sz val="11"/>
      <color indexed="8"/>
      <name val="Arial"/>
      <family val="2"/>
    </font>
    <font>
      <b/>
      <sz val="11"/>
      <color indexed="10"/>
      <name val="Arial"/>
      <family val="2"/>
    </font>
    <font>
      <b/>
      <sz val="11"/>
      <color indexed="12"/>
      <name val="Arial"/>
      <family val="2"/>
    </font>
    <font>
      <b/>
      <sz val="10"/>
      <color indexed="12"/>
      <name val="Arial"/>
      <family val="2"/>
    </font>
    <font>
      <b/>
      <u/>
      <sz val="11"/>
      <color indexed="12"/>
      <name val="Arial"/>
      <family val="2"/>
    </font>
    <font>
      <sz val="16"/>
      <name val="Arial"/>
      <family val="2"/>
    </font>
    <font>
      <b/>
      <sz val="16"/>
      <name val="Arial"/>
      <family val="2"/>
    </font>
    <font>
      <b/>
      <sz val="9"/>
      <color indexed="81"/>
      <name val="Tahoma"/>
      <family val="2"/>
    </font>
    <font>
      <sz val="9"/>
      <color indexed="81"/>
      <name val="Tahoma"/>
      <family val="2"/>
    </font>
    <font>
      <sz val="11"/>
      <color indexed="81"/>
      <name val="Calibri"/>
      <family val="2"/>
      <scheme val="minor"/>
    </font>
    <font>
      <sz val="10"/>
      <name val="MS Sans Serif"/>
      <family val="2"/>
    </font>
    <font>
      <sz val="10"/>
      <color theme="1"/>
      <name val="Arial"/>
      <family val="2"/>
    </font>
    <font>
      <b/>
      <sz val="10"/>
      <name val="Arial"/>
      <family val="2"/>
    </font>
    <font>
      <b/>
      <sz val="10"/>
      <color theme="1"/>
      <name val="Arial"/>
      <family val="2"/>
    </font>
    <font>
      <sz val="10"/>
      <color indexed="8"/>
      <name val="Arial"/>
      <family val="2"/>
    </font>
    <font>
      <u/>
      <sz val="11"/>
      <name val="Arial"/>
      <family val="2"/>
    </font>
    <font>
      <b/>
      <i/>
      <sz val="11"/>
      <name val="Arial"/>
      <family val="2"/>
    </font>
    <font>
      <b/>
      <sz val="11"/>
      <color rgb="FFFF0000"/>
      <name val="Arial"/>
      <family val="2"/>
    </font>
    <font>
      <b/>
      <u val="doubleAccounting"/>
      <sz val="11"/>
      <name val="Arial"/>
      <family val="2"/>
    </font>
    <font>
      <sz val="11"/>
      <color rgb="FFFF0000"/>
      <name val="Arial"/>
      <family val="2"/>
    </font>
    <font>
      <b/>
      <u val="doubleAccounting"/>
      <sz val="28"/>
      <color indexed="8"/>
      <name val="Arial"/>
      <family val="2"/>
    </font>
    <font>
      <sz val="16"/>
      <color indexed="8"/>
      <name val="Arial"/>
      <family val="2"/>
    </font>
    <font>
      <sz val="14"/>
      <color indexed="8"/>
      <name val="Arial"/>
      <family val="2"/>
    </font>
    <font>
      <sz val="26"/>
      <name val="Arial"/>
      <family val="2"/>
    </font>
    <font>
      <b/>
      <sz val="12"/>
      <color rgb="FFFF0000"/>
      <name val="Arial"/>
      <family val="2"/>
    </font>
    <font>
      <b/>
      <sz val="26"/>
      <color indexed="8"/>
      <name val="Arial"/>
      <family val="2"/>
    </font>
    <font>
      <b/>
      <sz val="20"/>
      <color indexed="8"/>
      <name val="Arial"/>
      <family val="2"/>
    </font>
    <font>
      <sz val="10"/>
      <color theme="1"/>
      <name val="Tahoma"/>
      <family val="2"/>
    </font>
    <font>
      <sz val="8"/>
      <color rgb="FF333333"/>
      <name val="Arial"/>
      <family val="2"/>
    </font>
    <font>
      <u/>
      <sz val="16"/>
      <color indexed="12"/>
      <name val="Arial"/>
      <family val="2"/>
    </font>
    <font>
      <sz val="10"/>
      <color theme="0"/>
      <name val="Arial"/>
      <family val="2"/>
    </font>
    <font>
      <sz val="11"/>
      <color theme="0"/>
      <name val="Arial"/>
      <family val="2"/>
    </font>
    <font>
      <b/>
      <u/>
      <sz val="10"/>
      <color indexed="48"/>
      <name val="Arial"/>
      <family val="2"/>
    </font>
    <font>
      <sz val="10"/>
      <color indexed="48"/>
      <name val="Arial"/>
      <family val="2"/>
    </font>
    <font>
      <b/>
      <u/>
      <sz val="10"/>
      <name val="Arial"/>
      <family val="2"/>
    </font>
    <font>
      <b/>
      <i/>
      <sz val="10"/>
      <color indexed="8"/>
      <name val="Arial"/>
      <family val="2"/>
    </font>
    <font>
      <b/>
      <sz val="10"/>
      <color indexed="8"/>
      <name val="Arial"/>
      <family val="2"/>
    </font>
    <font>
      <i/>
      <sz val="10"/>
      <color indexed="8"/>
      <name val="Arial"/>
      <family val="2"/>
    </font>
    <font>
      <b/>
      <u/>
      <sz val="14"/>
      <name val="Arial"/>
      <family val="2"/>
    </font>
    <font>
      <u/>
      <sz val="10"/>
      <color indexed="8"/>
      <name val="Arial"/>
      <family val="2"/>
    </font>
    <font>
      <u/>
      <sz val="10"/>
      <name val="Arial"/>
      <family val="2"/>
    </font>
    <font>
      <sz val="8"/>
      <name val="Arial"/>
      <family val="2"/>
    </font>
    <font>
      <sz val="8"/>
      <color indexed="8"/>
      <name val="Arial"/>
      <family val="2"/>
    </font>
    <font>
      <sz val="10"/>
      <color indexed="9"/>
      <name val="Arial"/>
      <family val="2"/>
    </font>
    <font>
      <sz val="8"/>
      <color indexed="81"/>
      <name val="Tahoma"/>
      <family val="2"/>
    </font>
    <font>
      <b/>
      <sz val="8"/>
      <color indexed="81"/>
      <name val="Tahoma"/>
      <family val="2"/>
    </font>
    <font>
      <b/>
      <u/>
      <sz val="10"/>
      <color indexed="8"/>
      <name val="Arial"/>
      <family val="2"/>
    </font>
    <font>
      <b/>
      <u/>
      <sz val="11"/>
      <color theme="1"/>
      <name val="Arial"/>
      <family val="2"/>
    </font>
    <font>
      <u/>
      <sz val="8"/>
      <name val="Arial"/>
      <family val="2"/>
    </font>
    <font>
      <b/>
      <sz val="8"/>
      <name val="Arial"/>
      <family val="2"/>
    </font>
    <font>
      <b/>
      <sz val="10"/>
      <color theme="3" tint="0.39997558519241921"/>
      <name val="Arial"/>
      <family val="2"/>
    </font>
    <font>
      <b/>
      <sz val="9"/>
      <name val="Arial"/>
      <family val="2"/>
    </font>
    <font>
      <sz val="8"/>
      <color indexed="10"/>
      <name val="Arial"/>
      <family val="2"/>
    </font>
    <font>
      <b/>
      <sz val="9"/>
      <color indexed="62"/>
      <name val="Arial"/>
      <family val="2"/>
    </font>
    <font>
      <i/>
      <sz val="11"/>
      <name val="Arial"/>
      <family val="2"/>
    </font>
    <font>
      <i/>
      <sz val="9"/>
      <color indexed="10"/>
      <name val="Arial"/>
      <family val="2"/>
    </font>
    <font>
      <sz val="10"/>
      <color rgb="FFFF0000"/>
      <name val="Arial"/>
      <family val="2"/>
    </font>
    <font>
      <i/>
      <sz val="9"/>
      <color indexed="23"/>
      <name val="Arial"/>
      <family val="2"/>
    </font>
    <font>
      <b/>
      <sz val="10"/>
      <color rgb="FFFF0000"/>
      <name val="Arial"/>
      <family val="2"/>
    </font>
    <font>
      <i/>
      <sz val="10"/>
      <color indexed="10"/>
      <name val="Arial"/>
      <family val="2"/>
    </font>
    <font>
      <b/>
      <sz val="10"/>
      <color indexed="10"/>
      <name val="Arial"/>
      <family val="2"/>
    </font>
    <font>
      <sz val="10"/>
      <color indexed="10"/>
      <name val="Arial"/>
      <family val="2"/>
    </font>
    <font>
      <sz val="16"/>
      <color rgb="FFCCFFCC"/>
      <name val="Arial"/>
      <family val="2"/>
    </font>
    <font>
      <sz val="6"/>
      <name val="Arial"/>
      <family val="2"/>
    </font>
    <font>
      <b/>
      <sz val="5"/>
      <name val="Arial"/>
      <family val="2"/>
    </font>
    <font>
      <sz val="12"/>
      <color rgb="FFFF0000"/>
      <name val="Arial"/>
      <family val="2"/>
    </font>
    <font>
      <b/>
      <sz val="7"/>
      <name val="Arial"/>
      <family val="2"/>
    </font>
    <font>
      <i/>
      <sz val="11"/>
      <color rgb="FFFF0000"/>
      <name val="Calibri"/>
      <family val="2"/>
      <scheme val="minor"/>
    </font>
    <font>
      <u/>
      <sz val="11"/>
      <color theme="10"/>
      <name val="Calibri"/>
      <family val="2"/>
      <scheme val="minor"/>
    </font>
    <font>
      <b/>
      <sz val="8"/>
      <color rgb="FFFF0000"/>
      <name val="Arial"/>
      <family val="2"/>
    </font>
    <font>
      <sz val="8"/>
      <color rgb="FF454545"/>
      <name val="Arial"/>
      <family val="2"/>
    </font>
    <font>
      <sz val="10"/>
      <name val="Arial Narrow"/>
      <family val="2"/>
    </font>
    <font>
      <sz val="10"/>
      <color theme="1"/>
      <name val="Arial Narrow"/>
      <family val="2"/>
    </font>
    <font>
      <sz val="8"/>
      <color theme="1"/>
      <name val="Tahoma"/>
      <family val="2"/>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9"/>
      <color indexed="8"/>
      <name val="Arial"/>
      <family val="2"/>
    </font>
  </fonts>
  <fills count="7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rgb="FFE7E5E5"/>
      </patternFill>
    </fill>
    <fill>
      <patternFill patternType="solid">
        <fgColor rgb="FFBFD2E2"/>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rgb="FFCCFFCC"/>
        <bgColor indexed="64"/>
      </patternFill>
    </fill>
    <fill>
      <patternFill patternType="solid">
        <fgColor theme="8" tint="0.79998168889431442"/>
        <bgColor indexed="64"/>
      </patternFill>
    </fill>
    <fill>
      <patternFill patternType="solid">
        <fgColor indexed="42"/>
        <bgColor indexed="64"/>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12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8"/>
      </left>
      <right style="thin">
        <color indexed="8"/>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style="medium">
        <color indexed="64"/>
      </left>
      <right/>
      <top/>
      <bottom/>
      <diagonal/>
    </border>
    <border>
      <left/>
      <right style="thick">
        <color indexed="64"/>
      </right>
      <top/>
      <bottom style="medium">
        <color indexed="64"/>
      </bottom>
      <diagonal/>
    </border>
    <border>
      <left style="thick">
        <color auto="1"/>
      </left>
      <right/>
      <top/>
      <bottom/>
      <diagonal/>
    </border>
    <border>
      <left/>
      <right style="thick">
        <color auto="1"/>
      </right>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auto="1"/>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rgb="FFCCCCCC"/>
      </left>
      <right style="thin">
        <color indexed="64"/>
      </right>
      <top style="thin">
        <color indexed="64"/>
      </top>
      <bottom/>
      <diagonal/>
    </border>
    <border>
      <left style="medium">
        <color rgb="FFCCCCCC"/>
      </left>
      <right style="thin">
        <color indexed="64"/>
      </right>
      <top/>
      <bottom/>
      <diagonal/>
    </border>
    <border>
      <left style="medium">
        <color rgb="FFCCCCCC"/>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s>
  <cellStyleXfs count="301">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2" fillId="0" borderId="0" applyFill="0" applyBorder="0" applyAlignment="0" applyProtection="0"/>
    <xf numFmtId="0" fontId="12" fillId="0" borderId="0" applyNumberFormat="0" applyFill="0" applyBorder="0" applyAlignment="0" applyProtection="0">
      <alignment vertical="top"/>
      <protection locked="0"/>
    </xf>
    <xf numFmtId="0" fontId="10" fillId="0" borderId="0"/>
    <xf numFmtId="0" fontId="11" fillId="0" borderId="0"/>
    <xf numFmtId="0" fontId="2" fillId="0" borderId="0" applyNumberFormat="0" applyFill="0" applyBorder="0" applyAlignment="0" applyProtection="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28" fillId="0" borderId="0"/>
    <xf numFmtId="0" fontId="41" fillId="0" borderId="0"/>
    <xf numFmtId="37" fontId="2" fillId="0" borderId="0"/>
    <xf numFmtId="37" fontId="2" fillId="0" borderId="0"/>
    <xf numFmtId="37" fontId="2" fillId="6" borderId="0"/>
    <xf numFmtId="0" fontId="82" fillId="0" borderId="0" applyNumberFormat="0" applyFill="0" applyBorder="0" applyAlignment="0" applyProtection="0"/>
    <xf numFmtId="0" fontId="2" fillId="0" borderId="0"/>
    <xf numFmtId="0" fontId="2" fillId="22" borderId="97" applyNumberFormat="0" applyFont="0" applyAlignment="0" applyProtection="0"/>
    <xf numFmtId="0" fontId="2" fillId="0" borderId="0"/>
    <xf numFmtId="0" fontId="2" fillId="0" borderId="0"/>
    <xf numFmtId="0" fontId="2" fillId="0" borderId="0"/>
    <xf numFmtId="0" fontId="89" fillId="0" borderId="0" applyNumberFormat="0" applyFill="0" applyBorder="0" applyAlignment="0" applyProtection="0"/>
    <xf numFmtId="0" fontId="90" fillId="0" borderId="105" applyNumberFormat="0" applyFill="0" applyAlignment="0" applyProtection="0"/>
    <xf numFmtId="0" fontId="91" fillId="0" borderId="106" applyNumberFormat="0" applyFill="0" applyAlignment="0" applyProtection="0"/>
    <xf numFmtId="0" fontId="92" fillId="0" borderId="107" applyNumberFormat="0" applyFill="0" applyAlignment="0" applyProtection="0"/>
    <xf numFmtId="0" fontId="92" fillId="0" borderId="0" applyNumberFormat="0" applyFill="0" applyBorder="0" applyAlignment="0" applyProtection="0"/>
    <xf numFmtId="0" fontId="93"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08" applyNumberFormat="0" applyAlignment="0" applyProtection="0"/>
    <xf numFmtId="0" fontId="97" fillId="27" borderId="109" applyNumberFormat="0" applyAlignment="0" applyProtection="0"/>
    <xf numFmtId="0" fontId="98" fillId="27" borderId="108" applyNumberFormat="0" applyAlignment="0" applyProtection="0"/>
    <xf numFmtId="0" fontId="99" fillId="0" borderId="110" applyNumberFormat="0" applyFill="0" applyAlignment="0" applyProtection="0"/>
    <xf numFmtId="0" fontId="100" fillId="28" borderId="111" applyNumberFormat="0" applyAlignment="0" applyProtection="0"/>
    <xf numFmtId="0" fontId="101" fillId="0" borderId="0" applyNumberFormat="0" applyFill="0" applyBorder="0" applyAlignment="0" applyProtection="0"/>
    <xf numFmtId="0" fontId="1" fillId="29" borderId="112" applyNumberFormat="0" applyFont="0" applyAlignment="0" applyProtection="0"/>
    <xf numFmtId="0" fontId="102" fillId="0" borderId="0" applyNumberFormat="0" applyFill="0" applyBorder="0" applyAlignment="0" applyProtection="0"/>
    <xf numFmtId="0" fontId="103" fillId="0" borderId="113" applyNumberFormat="0" applyFill="0" applyAlignment="0" applyProtection="0"/>
    <xf numFmtId="0" fontId="10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4" fillId="41" borderId="0" applyNumberFormat="0" applyBorder="0" applyAlignment="0" applyProtection="0"/>
    <xf numFmtId="0" fontId="104"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04" fillId="45" borderId="0" applyNumberFormat="0" applyBorder="0" applyAlignment="0" applyProtection="0"/>
    <xf numFmtId="0" fontId="104"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04" fillId="49" borderId="0" applyNumberFormat="0" applyBorder="0" applyAlignment="0" applyProtection="0"/>
    <xf numFmtId="0" fontId="104"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04"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105" fillId="56" borderId="0" applyNumberFormat="0" applyBorder="0" applyAlignment="0" applyProtection="0"/>
    <xf numFmtId="0" fontId="10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105" fillId="60" borderId="0" applyNumberFormat="0" applyBorder="0" applyAlignment="0" applyProtection="0"/>
    <xf numFmtId="0" fontId="105" fillId="61" borderId="0" applyNumberFormat="0" applyBorder="0" applyAlignment="0" applyProtection="0"/>
    <xf numFmtId="0" fontId="105" fillId="62" borderId="0" applyNumberFormat="0" applyBorder="0" applyAlignment="0" applyProtection="0"/>
    <xf numFmtId="0" fontId="105" fillId="57" borderId="0" applyNumberFormat="0" applyBorder="0" applyAlignment="0" applyProtection="0"/>
    <xf numFmtId="0" fontId="105" fillId="60" borderId="0" applyNumberFormat="0" applyBorder="0" applyAlignment="0" applyProtection="0"/>
    <xf numFmtId="0" fontId="105" fillId="63" borderId="0" applyNumberFormat="0" applyBorder="0" applyAlignment="0" applyProtection="0"/>
    <xf numFmtId="0" fontId="106" fillId="64"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106" fillId="65" borderId="0" applyNumberFormat="0" applyBorder="0" applyAlignment="0" applyProtection="0"/>
    <xf numFmtId="0" fontId="106" fillId="66" borderId="0" applyNumberFormat="0" applyBorder="0" applyAlignment="0" applyProtection="0"/>
    <xf numFmtId="0" fontId="106" fillId="67" borderId="0" applyNumberFormat="0" applyBorder="0" applyAlignment="0" applyProtection="0"/>
    <xf numFmtId="0" fontId="106" fillId="68" borderId="0" applyNumberFormat="0" applyBorder="0" applyAlignment="0" applyProtection="0"/>
    <xf numFmtId="0" fontId="106" fillId="69" borderId="0" applyNumberFormat="0" applyBorder="0" applyAlignment="0" applyProtection="0"/>
    <xf numFmtId="0" fontId="106" fillId="70" borderId="0" applyNumberFormat="0" applyBorder="0" applyAlignment="0" applyProtection="0"/>
    <xf numFmtId="0" fontId="106" fillId="65" borderId="0" applyNumberFormat="0" applyBorder="0" applyAlignment="0" applyProtection="0"/>
    <xf numFmtId="0" fontId="106" fillId="66" borderId="0" applyNumberFormat="0" applyBorder="0" applyAlignment="0" applyProtection="0"/>
    <xf numFmtId="0" fontId="106" fillId="71" borderId="0" applyNumberFormat="0" applyBorder="0" applyAlignment="0" applyProtection="0"/>
    <xf numFmtId="0" fontId="107" fillId="55" borderId="0" applyNumberFormat="0" applyBorder="0" applyAlignment="0" applyProtection="0"/>
    <xf numFmtId="0" fontId="108" fillId="72" borderId="114" applyNumberFormat="0" applyAlignment="0" applyProtection="0"/>
    <xf numFmtId="0" fontId="109" fillId="73" borderId="11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0" fillId="0" borderId="0" applyNumberFormat="0" applyFill="0" applyBorder="0" applyAlignment="0" applyProtection="0"/>
    <xf numFmtId="0" fontId="111" fillId="56" borderId="0" applyNumberFormat="0" applyBorder="0" applyAlignment="0" applyProtection="0"/>
    <xf numFmtId="0" fontId="112" fillId="0" borderId="116" applyNumberFormat="0" applyFill="0" applyAlignment="0" applyProtection="0"/>
    <xf numFmtId="0" fontId="113" fillId="0" borderId="117" applyNumberFormat="0" applyFill="0" applyAlignment="0" applyProtection="0"/>
    <xf numFmtId="0" fontId="114" fillId="0" borderId="118" applyNumberFormat="0" applyFill="0" applyAlignment="0" applyProtection="0"/>
    <xf numFmtId="0" fontId="114" fillId="0" borderId="0" applyNumberFormat="0" applyFill="0" applyBorder="0" applyAlignment="0" applyProtection="0"/>
    <xf numFmtId="0" fontId="115" fillId="59" borderId="114" applyNumberFormat="0" applyAlignment="0" applyProtection="0"/>
    <xf numFmtId="0" fontId="116" fillId="0" borderId="119" applyNumberFormat="0" applyFill="0" applyAlignment="0" applyProtection="0"/>
    <xf numFmtId="0" fontId="117" fillId="74" borderId="0" applyNumberFormat="0" applyBorder="0" applyAlignment="0" applyProtection="0"/>
    <xf numFmtId="0" fontId="2" fillId="0" borderId="0"/>
    <xf numFmtId="0" fontId="118" fillId="72" borderId="1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9" fillId="0" borderId="0" applyNumberFormat="0" applyFill="0" applyBorder="0" applyAlignment="0" applyProtection="0"/>
    <xf numFmtId="0" fontId="120" fillId="0" borderId="121" applyNumberFormat="0" applyFill="0" applyAlignment="0" applyProtection="0"/>
    <xf numFmtId="0" fontId="121"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 fontId="2" fillId="0" borderId="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1" fillId="0" borderId="0"/>
    <xf numFmtId="0" fontId="2" fillId="0" borderId="0"/>
    <xf numFmtId="0" fontId="41" fillId="0" borderId="0"/>
    <xf numFmtId="0" fontId="1" fillId="0" borderId="0"/>
    <xf numFmtId="0" fontId="2" fillId="22" borderId="97" applyNumberFormat="0" applyFont="0" applyAlignment="0" applyProtection="0"/>
    <xf numFmtId="0" fontId="2" fillId="0" borderId="0"/>
    <xf numFmtId="0" fontId="12" fillId="0" borderId="0" applyNumberFormat="0" applyFill="0" applyBorder="0" applyAlignment="0" applyProtection="0"/>
    <xf numFmtId="0" fontId="2" fillId="0" borderId="0"/>
    <xf numFmtId="0" fontId="2" fillId="0" borderId="0"/>
    <xf numFmtId="0" fontId="2" fillId="0" borderId="0"/>
    <xf numFmtId="0" fontId="2" fillId="0" borderId="0" applyAlignment="0">
      <alignment vertical="top" wrapText="1"/>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applyAlignment="0">
      <alignment vertical="top" wrapText="1"/>
      <protection locked="0"/>
    </xf>
    <xf numFmtId="0" fontId="2" fillId="0" borderId="0"/>
    <xf numFmtId="0" fontId="2" fillId="0" borderId="0"/>
    <xf numFmtId="0" fontId="2" fillId="22" borderId="97" applyNumberFormat="0" applyFont="0" applyAlignment="0" applyProtection="0"/>
    <xf numFmtId="44" fontId="2" fillId="0" borderId="0" applyFont="0" applyFill="0" applyBorder="0" applyAlignment="0" applyProtection="0"/>
    <xf numFmtId="0" fontId="1" fillId="0" borderId="0"/>
    <xf numFmtId="0" fontId="2" fillId="22" borderId="97" applyNumberFormat="0" applyFont="0" applyAlignment="0" applyProtection="0"/>
    <xf numFmtId="0" fontId="2"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41" fillId="0" borderId="0"/>
    <xf numFmtId="0" fontId="1" fillId="0" borderId="0"/>
    <xf numFmtId="0" fontId="1" fillId="29" borderId="112" applyNumberFormat="0" applyFont="0" applyAlignment="0" applyProtection="0"/>
    <xf numFmtId="0" fontId="1" fillId="0" borderId="0"/>
    <xf numFmtId="0" fontId="41" fillId="0" borderId="0"/>
    <xf numFmtId="0" fontId="2" fillId="0" borderId="0"/>
    <xf numFmtId="0" fontId="2" fillId="0" borderId="0"/>
    <xf numFmtId="0" fontId="2" fillId="0" borderId="0"/>
    <xf numFmtId="0" fontId="2" fillId="0" borderId="0"/>
    <xf numFmtId="0" fontId="2" fillId="0" borderId="0" applyAlignment="0">
      <alignment vertical="top" wrapText="1"/>
      <protection locked="0"/>
    </xf>
    <xf numFmtId="0" fontId="2" fillId="0" borderId="0"/>
    <xf numFmtId="0" fontId="1" fillId="0" borderId="0"/>
    <xf numFmtId="0" fontId="1" fillId="29" borderId="112"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2" fillId="0" borderId="0"/>
    <xf numFmtId="0" fontId="2" fillId="0" borderId="0"/>
    <xf numFmtId="0" fontId="2" fillId="0" borderId="0" applyAlignment="0">
      <alignment vertical="top" wrapText="1"/>
      <protection locked="0"/>
    </xf>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29" borderId="112" applyNumberFormat="0" applyFont="0" applyAlignment="0" applyProtection="0"/>
    <xf numFmtId="0" fontId="1" fillId="0" borderId="0"/>
    <xf numFmtId="0" fontId="1" fillId="0" borderId="0"/>
    <xf numFmtId="0" fontId="2" fillId="0" borderId="0"/>
    <xf numFmtId="0" fontId="41" fillId="0" borderId="0"/>
    <xf numFmtId="0" fontId="1" fillId="0" borderId="0"/>
    <xf numFmtId="0" fontId="2" fillId="0" borderId="0"/>
    <xf numFmtId="44" fontId="1"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2" fillId="0" borderId="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applyAlignment="0">
      <alignment vertical="top" wrapText="1"/>
      <protection locked="0"/>
    </xf>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2" fillId="22" borderId="97"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pplyAlignment="0">
      <alignment vertical="top" wrapText="1"/>
      <protection locked="0"/>
    </xf>
    <xf numFmtId="9" fontId="2"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1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Alignment="0" applyProtection="0">
      <alignment vertical="top"/>
      <protection locked="0"/>
    </xf>
    <xf numFmtId="0" fontId="10" fillId="0" borderId="0"/>
    <xf numFmtId="0" fontId="2" fillId="0" borderId="0" applyNumberFormat="0" applyFill="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105" fillId="56" borderId="0" applyNumberFormat="0" applyBorder="0" applyAlignment="0" applyProtection="0"/>
    <xf numFmtId="0" fontId="10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105" fillId="60" borderId="0" applyNumberFormat="0" applyBorder="0" applyAlignment="0" applyProtection="0"/>
    <xf numFmtId="0" fontId="105" fillId="61" borderId="0" applyNumberFormat="0" applyBorder="0" applyAlignment="0" applyProtection="0"/>
    <xf numFmtId="0" fontId="105" fillId="62" borderId="0" applyNumberFormat="0" applyBorder="0" applyAlignment="0" applyProtection="0"/>
    <xf numFmtId="0" fontId="105" fillId="57" borderId="0" applyNumberFormat="0" applyBorder="0" applyAlignment="0" applyProtection="0"/>
    <xf numFmtId="0" fontId="105" fillId="60" borderId="0" applyNumberFormat="0" applyBorder="0" applyAlignment="0" applyProtection="0"/>
    <xf numFmtId="0" fontId="105" fillId="63" borderId="0" applyNumberFormat="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43" fontId="10" fillId="0" borderId="0" applyFont="0" applyFill="0" applyBorder="0" applyAlignment="0" applyProtection="0"/>
    <xf numFmtId="0" fontId="11" fillId="0" borderId="0"/>
    <xf numFmtId="0" fontId="2" fillId="0" borderId="0"/>
    <xf numFmtId="0" fontId="2" fillId="0" borderId="0"/>
    <xf numFmtId="0" fontId="2" fillId="0" borderId="0"/>
    <xf numFmtId="0" fontId="41" fillId="0" borderId="0"/>
    <xf numFmtId="0" fontId="2" fillId="0" borderId="0"/>
    <xf numFmtId="0" fontId="41" fillId="0" borderId="0"/>
    <xf numFmtId="0" fontId="1" fillId="0" borderId="0"/>
    <xf numFmtId="0" fontId="2" fillId="0" borderId="0"/>
    <xf numFmtId="0" fontId="2" fillId="0" borderId="0"/>
    <xf numFmtId="0" fontId="2" fillId="0" borderId="0"/>
  </cellStyleXfs>
  <cellXfs count="1100">
    <xf numFmtId="0" fontId="0" fillId="0" borderId="0" xfId="0"/>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2" borderId="0" xfId="1" applyFont="1" applyFill="1"/>
    <xf numFmtId="43" fontId="5" fillId="2" borderId="0" xfId="2" applyFont="1" applyFill="1"/>
    <xf numFmtId="0" fontId="5" fillId="2" borderId="0" xfId="1" applyFont="1" applyFill="1" applyAlignment="1">
      <alignment wrapText="1"/>
    </xf>
    <xf numFmtId="0" fontId="6" fillId="2" borderId="0" xfId="1" applyFont="1" applyFill="1" applyAlignment="1">
      <alignment horizontal="left" vertical="center"/>
    </xf>
    <xf numFmtId="0" fontId="5" fillId="2" borderId="0" xfId="1" applyFont="1" applyFill="1" applyAlignment="1">
      <alignment horizontal="left" vertical="center"/>
    </xf>
    <xf numFmtId="0" fontId="7" fillId="3" borderId="1" xfId="1" applyFont="1" applyFill="1" applyBorder="1"/>
    <xf numFmtId="0" fontId="7" fillId="3" borderId="2" xfId="1" applyFont="1" applyFill="1" applyBorder="1"/>
    <xf numFmtId="0" fontId="8" fillId="2" borderId="0" xfId="1" applyFont="1" applyFill="1"/>
    <xf numFmtId="0" fontId="8" fillId="2" borderId="0" xfId="1" applyFont="1" applyFill="1" applyAlignment="1">
      <alignment wrapText="1"/>
    </xf>
    <xf numFmtId="43" fontId="8" fillId="2" borderId="0" xfId="2" applyFont="1" applyFill="1"/>
    <xf numFmtId="0" fontId="4" fillId="4" borderId="3" xfId="1" applyFont="1" applyFill="1" applyBorder="1" applyAlignment="1">
      <alignment horizontal="center" vertical="center" wrapText="1"/>
    </xf>
    <xf numFmtId="43" fontId="4" fillId="4" borderId="4" xfId="2"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2" borderId="0" xfId="1" applyFont="1" applyFill="1" applyAlignment="1">
      <alignment horizontal="center" vertical="center" wrapText="1"/>
    </xf>
    <xf numFmtId="0" fontId="5" fillId="2" borderId="3" xfId="1" applyFont="1" applyFill="1" applyBorder="1"/>
    <xf numFmtId="43" fontId="5" fillId="2" borderId="4" xfId="2" applyFont="1" applyFill="1" applyBorder="1"/>
    <xf numFmtId="0" fontId="5" fillId="2" borderId="8" xfId="1" applyFont="1" applyFill="1" applyBorder="1"/>
    <xf numFmtId="0" fontId="5" fillId="2" borderId="9" xfId="1" applyFont="1" applyFill="1" applyBorder="1"/>
    <xf numFmtId="0" fontId="5" fillId="2" borderId="8" xfId="1" applyFont="1" applyFill="1" applyBorder="1" applyAlignment="1">
      <alignment wrapText="1"/>
    </xf>
    <xf numFmtId="0" fontId="5" fillId="2" borderId="10" xfId="1" applyFont="1" applyFill="1" applyBorder="1" applyAlignment="1">
      <alignment wrapText="1"/>
    </xf>
    <xf numFmtId="0" fontId="5" fillId="2" borderId="7" xfId="1" applyFont="1" applyFill="1" applyBorder="1" applyAlignment="1">
      <alignment wrapText="1"/>
    </xf>
    <xf numFmtId="0" fontId="5" fillId="2" borderId="11" xfId="1" applyFont="1" applyFill="1" applyBorder="1"/>
    <xf numFmtId="0" fontId="5" fillId="2" borderId="12" xfId="1" applyFont="1" applyFill="1" applyBorder="1"/>
    <xf numFmtId="0" fontId="5" fillId="2" borderId="11" xfId="1" applyFont="1" applyFill="1" applyBorder="1" applyAlignment="1">
      <alignment wrapText="1"/>
    </xf>
    <xf numFmtId="0" fontId="8" fillId="3" borderId="13" xfId="1" applyFont="1" applyFill="1" applyBorder="1"/>
    <xf numFmtId="0" fontId="5" fillId="0" borderId="8" xfId="1" applyFont="1" applyFill="1" applyBorder="1"/>
    <xf numFmtId="0" fontId="5" fillId="0" borderId="9" xfId="1" applyFont="1" applyFill="1" applyBorder="1"/>
    <xf numFmtId="0" fontId="5" fillId="2" borderId="7" xfId="1" applyFont="1" applyFill="1" applyBorder="1"/>
    <xf numFmtId="0" fontId="5" fillId="0" borderId="11" xfId="1" applyFont="1" applyFill="1" applyBorder="1"/>
    <xf numFmtId="0" fontId="5" fillId="0" borderId="12" xfId="1" applyFont="1" applyFill="1" applyBorder="1"/>
    <xf numFmtId="0" fontId="9" fillId="6" borderId="0" xfId="1" applyFont="1" applyFill="1"/>
    <xf numFmtId="0" fontId="5" fillId="6" borderId="0" xfId="1" applyFont="1" applyFill="1"/>
    <xf numFmtId="164" fontId="13" fillId="2" borderId="12" xfId="1" applyNumberFormat="1" applyFont="1" applyFill="1" applyBorder="1" applyAlignment="1">
      <alignment vertical="top"/>
    </xf>
    <xf numFmtId="164" fontId="14" fillId="2" borderId="14" xfId="1" applyNumberFormat="1" applyFont="1" applyFill="1" applyBorder="1" applyAlignment="1">
      <alignment vertical="top"/>
    </xf>
    <xf numFmtId="164" fontId="13" fillId="2" borderId="14" xfId="1" applyNumberFormat="1" applyFont="1" applyFill="1" applyBorder="1" applyAlignment="1">
      <alignment vertical="top"/>
    </xf>
    <xf numFmtId="164" fontId="14" fillId="2" borderId="15" xfId="1" applyNumberFormat="1" applyFont="1" applyFill="1" applyBorder="1" applyAlignment="1">
      <alignment vertical="top"/>
    </xf>
    <xf numFmtId="164" fontId="13" fillId="2" borderId="15" xfId="1" applyNumberFormat="1" applyFont="1" applyFill="1" applyBorder="1" applyAlignment="1">
      <alignment vertical="top"/>
    </xf>
    <xf numFmtId="49" fontId="13" fillId="2" borderId="15" xfId="1" applyNumberFormat="1" applyFont="1" applyFill="1" applyBorder="1" applyAlignment="1">
      <alignment vertical="top"/>
    </xf>
    <xf numFmtId="49" fontId="13" fillId="2" borderId="11" xfId="1" applyNumberFormat="1" applyFont="1" applyFill="1" applyBorder="1" applyAlignment="1">
      <alignment vertical="top"/>
    </xf>
    <xf numFmtId="0" fontId="2" fillId="2" borderId="0" xfId="1" applyFont="1" applyFill="1"/>
    <xf numFmtId="164" fontId="13" fillId="2" borderId="9" xfId="1" applyNumberFormat="1" applyFont="1" applyFill="1" applyBorder="1" applyAlignment="1">
      <alignment vertical="top"/>
    </xf>
    <xf numFmtId="164" fontId="14" fillId="2" borderId="4" xfId="1" applyNumberFormat="1" applyFont="1" applyFill="1" applyBorder="1" applyAlignment="1">
      <alignment vertical="top"/>
    </xf>
    <xf numFmtId="164" fontId="13" fillId="2" borderId="4" xfId="1" applyNumberFormat="1" applyFont="1" applyFill="1" applyBorder="1" applyAlignment="1">
      <alignment vertical="top"/>
    </xf>
    <xf numFmtId="164" fontId="14" fillId="2" borderId="3" xfId="1" applyNumberFormat="1" applyFont="1" applyFill="1" applyBorder="1" applyAlignment="1">
      <alignment vertical="top"/>
    </xf>
    <xf numFmtId="164" fontId="13" fillId="2" borderId="3" xfId="1" applyNumberFormat="1" applyFont="1" applyFill="1" applyBorder="1" applyAlignment="1">
      <alignment vertical="top"/>
    </xf>
    <xf numFmtId="49" fontId="13" fillId="2" borderId="3" xfId="1" applyNumberFormat="1" applyFont="1" applyFill="1" applyBorder="1" applyAlignment="1">
      <alignment vertical="top"/>
    </xf>
    <xf numFmtId="49" fontId="13" fillId="2" borderId="8" xfId="1" applyNumberFormat="1" applyFont="1" applyFill="1" applyBorder="1" applyAlignment="1">
      <alignment vertical="top"/>
    </xf>
    <xf numFmtId="164" fontId="13" fillId="2" borderId="16" xfId="1" applyNumberFormat="1" applyFont="1" applyFill="1" applyBorder="1" applyAlignment="1">
      <alignment vertical="top"/>
    </xf>
    <xf numFmtId="164" fontId="14" fillId="2" borderId="17" xfId="1" applyNumberFormat="1" applyFont="1" applyFill="1" applyBorder="1" applyAlignment="1">
      <alignment vertical="top"/>
    </xf>
    <xf numFmtId="164" fontId="13" fillId="2" borderId="17" xfId="1" applyNumberFormat="1" applyFont="1" applyFill="1" applyBorder="1" applyAlignment="1">
      <alignment vertical="top"/>
    </xf>
    <xf numFmtId="164" fontId="14" fillId="2" borderId="18" xfId="1" applyNumberFormat="1" applyFont="1" applyFill="1" applyBorder="1" applyAlignment="1">
      <alignment vertical="top"/>
    </xf>
    <xf numFmtId="164" fontId="13" fillId="2" borderId="18" xfId="1" applyNumberFormat="1" applyFont="1" applyFill="1" applyBorder="1" applyAlignment="1">
      <alignment vertical="top"/>
    </xf>
    <xf numFmtId="49" fontId="13" fillId="2" borderId="18" xfId="1" applyNumberFormat="1" applyFont="1" applyFill="1" applyBorder="1" applyAlignment="1">
      <alignment vertical="top"/>
    </xf>
    <xf numFmtId="49" fontId="13" fillId="2" borderId="19" xfId="1" applyNumberFormat="1" applyFont="1" applyFill="1" applyBorder="1" applyAlignment="1">
      <alignment vertical="top"/>
    </xf>
    <xf numFmtId="49" fontId="13" fillId="2" borderId="12" xfId="1" applyNumberFormat="1" applyFont="1" applyFill="1" applyBorder="1" applyAlignment="1">
      <alignment horizontal="center" wrapText="1"/>
    </xf>
    <xf numFmtId="49" fontId="14" fillId="2" borderId="15" xfId="1" applyNumberFormat="1" applyFont="1" applyFill="1" applyBorder="1" applyAlignment="1">
      <alignment horizontal="center" wrapText="1"/>
    </xf>
    <xf numFmtId="49" fontId="13" fillId="2" borderId="15" xfId="1" applyNumberFormat="1" applyFont="1" applyFill="1" applyBorder="1" applyAlignment="1">
      <alignment horizontal="center" wrapText="1"/>
    </xf>
    <xf numFmtId="49" fontId="13" fillId="2" borderId="11" xfId="1" applyNumberFormat="1" applyFont="1" applyFill="1" applyBorder="1" applyAlignment="1">
      <alignment horizontal="center" wrapText="1"/>
    </xf>
    <xf numFmtId="0" fontId="2" fillId="2" borderId="0" xfId="1" applyFont="1" applyFill="1" applyAlignment="1">
      <alignment horizontal="center" wrapText="1"/>
    </xf>
    <xf numFmtId="0" fontId="15" fillId="2" borderId="6" xfId="1" applyFont="1" applyFill="1" applyBorder="1" applyAlignment="1">
      <alignment horizontal="center"/>
    </xf>
    <xf numFmtId="0" fontId="15" fillId="2" borderId="20" xfId="1" applyFont="1" applyFill="1" applyBorder="1" applyAlignment="1">
      <alignment horizontal="center"/>
    </xf>
    <xf numFmtId="0" fontId="15" fillId="7" borderId="20" xfId="1" applyFont="1" applyFill="1" applyBorder="1" applyAlignment="1">
      <alignment horizontal="center"/>
    </xf>
    <xf numFmtId="0" fontId="5" fillId="2" borderId="20" xfId="1" applyFont="1" applyFill="1" applyBorder="1"/>
    <xf numFmtId="0" fontId="15" fillId="2" borderId="20" xfId="1" applyFont="1" applyFill="1" applyBorder="1"/>
    <xf numFmtId="0" fontId="4" fillId="2" borderId="5" xfId="1" applyFont="1" applyFill="1" applyBorder="1"/>
    <xf numFmtId="0" fontId="5" fillId="2" borderId="0" xfId="1" applyFont="1" applyFill="1" applyBorder="1"/>
    <xf numFmtId="0" fontId="5" fillId="2" borderId="0" xfId="1" applyFont="1" applyFill="1" applyBorder="1" applyAlignment="1">
      <alignment horizontal="left" indent="1"/>
    </xf>
    <xf numFmtId="165" fontId="5" fillId="2" borderId="0" xfId="9" applyNumberFormat="1" applyFont="1" applyFill="1"/>
    <xf numFmtId="0" fontId="4" fillId="2" borderId="0" xfId="1" applyFont="1" applyFill="1" applyBorder="1" applyAlignment="1">
      <alignment horizontal="left"/>
    </xf>
    <xf numFmtId="0" fontId="4" fillId="2" borderId="0" xfId="1" applyFont="1" applyFill="1"/>
    <xf numFmtId="0" fontId="9" fillId="2" borderId="0" xfId="1" applyFont="1" applyFill="1"/>
    <xf numFmtId="0" fontId="5" fillId="2" borderId="0" xfId="1" applyFont="1" applyFill="1" applyBorder="1" applyAlignment="1">
      <alignment horizontal="left"/>
    </xf>
    <xf numFmtId="0" fontId="5" fillId="2" borderId="0" xfId="1" applyFont="1" applyFill="1" applyBorder="1" applyAlignment="1"/>
    <xf numFmtId="0" fontId="6" fillId="2" borderId="0" xfId="1" applyFont="1" applyFill="1" applyBorder="1" applyAlignment="1"/>
    <xf numFmtId="0" fontId="3" fillId="2" borderId="0" xfId="1" applyFont="1" applyFill="1"/>
    <xf numFmtId="0" fontId="4" fillId="2" borderId="0" xfId="1" applyFont="1" applyFill="1" applyAlignment="1">
      <alignment horizontal="right"/>
    </xf>
    <xf numFmtId="0" fontId="5" fillId="2" borderId="0" xfId="1" applyFont="1" applyFill="1" applyAlignment="1">
      <alignment horizontal="right" indent="2"/>
    </xf>
    <xf numFmtId="44" fontId="5" fillId="2" borderId="3" xfId="9" applyFont="1" applyFill="1" applyBorder="1"/>
    <xf numFmtId="0" fontId="5" fillId="2" borderId="3" xfId="1" applyFont="1" applyFill="1" applyBorder="1" applyAlignment="1">
      <alignment horizontal="center"/>
    </xf>
    <xf numFmtId="0" fontId="5" fillId="2" borderId="3" xfId="1" applyFont="1" applyFill="1" applyBorder="1" applyAlignment="1">
      <alignment wrapText="1"/>
    </xf>
    <xf numFmtId="0" fontId="5" fillId="4" borderId="3"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5" fillId="9" borderId="3" xfId="1" applyFont="1" applyFill="1" applyBorder="1" applyAlignment="1">
      <alignment horizontal="center" vertical="center" wrapText="1"/>
    </xf>
    <xf numFmtId="44" fontId="5" fillId="0" borderId="0" xfId="9" applyFont="1" applyFill="1" applyBorder="1"/>
    <xf numFmtId="0" fontId="5" fillId="0" borderId="0" xfId="1" applyFont="1" applyFill="1" applyBorder="1"/>
    <xf numFmtId="9" fontId="5" fillId="0" borderId="0" xfId="1" applyNumberFormat="1" applyFont="1" applyFill="1" applyBorder="1"/>
    <xf numFmtId="9" fontId="5" fillId="0" borderId="0" xfId="24" applyFont="1" applyFill="1" applyBorder="1"/>
    <xf numFmtId="0" fontId="5" fillId="0" borderId="0" xfId="1" applyFont="1" applyFill="1" applyBorder="1" applyAlignment="1">
      <alignment wrapText="1"/>
    </xf>
    <xf numFmtId="0" fontId="5" fillId="0" borderId="0" xfId="1" applyFont="1" applyFill="1" applyBorder="1" applyAlignment="1">
      <alignment horizontal="center"/>
    </xf>
    <xf numFmtId="0" fontId="7" fillId="0" borderId="0" xfId="1" applyFont="1" applyFill="1" applyBorder="1" applyAlignment="1">
      <alignment horizontal="left"/>
    </xf>
    <xf numFmtId="0" fontId="7" fillId="2" borderId="0" xfId="1" applyFont="1" applyFill="1" applyBorder="1"/>
    <xf numFmtId="0" fontId="16" fillId="2" borderId="0" xfId="1" applyFont="1" applyFill="1" applyBorder="1" applyAlignment="1">
      <alignment wrapText="1"/>
    </xf>
    <xf numFmtId="0" fontId="17" fillId="2" borderId="0" xfId="1" applyFont="1" applyFill="1" applyBorder="1" applyAlignment="1">
      <alignment horizontal="left" wrapText="1"/>
    </xf>
    <xf numFmtId="0" fontId="5" fillId="0" borderId="0" xfId="1" applyFont="1" applyFill="1"/>
    <xf numFmtId="166" fontId="16" fillId="0" borderId="0" xfId="24" applyNumberFormat="1" applyFont="1" applyFill="1" applyBorder="1" applyAlignment="1">
      <alignment horizontal="center"/>
    </xf>
    <xf numFmtId="0" fontId="4" fillId="0" borderId="0" xfId="1" applyFont="1" applyFill="1" applyBorder="1" applyAlignment="1">
      <alignment horizontal="left"/>
    </xf>
    <xf numFmtId="0" fontId="4" fillId="0" borderId="0" xfId="1" applyFont="1" applyFill="1" applyBorder="1" applyAlignment="1"/>
    <xf numFmtId="166" fontId="16" fillId="7" borderId="21" xfId="24" applyNumberFormat="1" applyFont="1" applyFill="1" applyBorder="1" applyAlignment="1">
      <alignment horizontal="center"/>
    </xf>
    <xf numFmtId="0" fontId="4" fillId="0" borderId="22" xfId="1" applyFont="1" applyFill="1" applyBorder="1" applyAlignment="1">
      <alignment horizontal="left"/>
    </xf>
    <xf numFmtId="0" fontId="4" fillId="0" borderId="13" xfId="1" applyFont="1" applyFill="1" applyBorder="1" applyAlignment="1">
      <alignment horizontal="left"/>
    </xf>
    <xf numFmtId="0" fontId="4" fillId="0" borderId="13" xfId="1" applyFont="1" applyFill="1" applyBorder="1" applyAlignment="1"/>
    <xf numFmtId="0" fontId="4" fillId="0" borderId="1" xfId="1" applyFont="1" applyFill="1" applyBorder="1" applyAlignment="1"/>
    <xf numFmtId="0" fontId="4" fillId="2" borderId="22" xfId="1" applyFont="1" applyFill="1" applyBorder="1" applyAlignment="1">
      <alignment horizontal="left"/>
    </xf>
    <xf numFmtId="0" fontId="4" fillId="2" borderId="13" xfId="1" applyFont="1" applyFill="1" applyBorder="1" applyAlignment="1">
      <alignment horizontal="left"/>
    </xf>
    <xf numFmtId="0" fontId="4" fillId="2" borderId="13" xfId="1" applyFont="1" applyFill="1" applyBorder="1" applyAlignment="1"/>
    <xf numFmtId="0" fontId="4" fillId="2" borderId="1" xfId="1" applyFont="1" applyFill="1" applyBorder="1" applyAlignment="1"/>
    <xf numFmtId="0" fontId="5" fillId="0" borderId="0" xfId="1" applyFont="1" applyFill="1" applyBorder="1" applyAlignment="1">
      <alignment vertical="center" wrapText="1"/>
    </xf>
    <xf numFmtId="0" fontId="19" fillId="2" borderId="0" xfId="1" applyFont="1" applyFill="1" applyAlignment="1">
      <alignment vertical="top"/>
    </xf>
    <xf numFmtId="0" fontId="20" fillId="2" borderId="0" xfId="1" applyFont="1" applyFill="1"/>
    <xf numFmtId="0" fontId="5" fillId="2" borderId="0" xfId="20" applyFont="1" applyFill="1"/>
    <xf numFmtId="0" fontId="5" fillId="2" borderId="0" xfId="20" applyFont="1" applyFill="1" applyAlignment="1">
      <alignment horizontal="center"/>
    </xf>
    <xf numFmtId="0" fontId="24" fillId="0" borderId="0" xfId="20" applyFont="1"/>
    <xf numFmtId="0" fontId="2" fillId="3" borderId="0" xfId="20" applyFont="1" applyFill="1"/>
    <xf numFmtId="0" fontId="25" fillId="3" borderId="23" xfId="21" applyFont="1" applyFill="1" applyBorder="1"/>
    <xf numFmtId="10" fontId="25" fillId="7" borderId="23" xfId="21" applyNumberFormat="1" applyFont="1" applyFill="1" applyBorder="1"/>
    <xf numFmtId="0" fontId="1" fillId="0" borderId="0" xfId="21"/>
    <xf numFmtId="0" fontId="26" fillId="0" borderId="3" xfId="21" applyFont="1" applyBorder="1"/>
    <xf numFmtId="2" fontId="1" fillId="0" borderId="0" xfId="21" applyNumberFormat="1"/>
    <xf numFmtId="17" fontId="1" fillId="0" borderId="0" xfId="21" applyNumberFormat="1"/>
    <xf numFmtId="2" fontId="1" fillId="4" borderId="24" xfId="21" applyNumberFormat="1" applyFill="1" applyBorder="1"/>
    <xf numFmtId="0" fontId="1" fillId="4" borderId="24" xfId="21" applyFill="1" applyBorder="1"/>
    <xf numFmtId="0" fontId="20" fillId="4" borderId="24" xfId="20" applyFont="1" applyFill="1" applyBorder="1" applyAlignment="1">
      <alignment horizontal="left" vertical="center"/>
    </xf>
    <xf numFmtId="0" fontId="2" fillId="0" borderId="0" xfId="20" applyFont="1"/>
    <xf numFmtId="167" fontId="26" fillId="0" borderId="0" xfId="20" applyNumberFormat="1" applyFont="1" applyFill="1"/>
    <xf numFmtId="0" fontId="26" fillId="0" borderId="0" xfId="20" applyFont="1" applyAlignment="1">
      <alignment horizontal="right"/>
    </xf>
    <xf numFmtId="0" fontId="24" fillId="0" borderId="0" xfId="20" applyFont="1" applyFill="1"/>
    <xf numFmtId="0" fontId="2" fillId="0" borderId="0" xfId="20" applyFont="1" applyFill="1"/>
    <xf numFmtId="0" fontId="26" fillId="0" borderId="0" xfId="20" applyFont="1"/>
    <xf numFmtId="0" fontId="24" fillId="3" borderId="0" xfId="20" applyFont="1" applyFill="1"/>
    <xf numFmtId="167" fontId="2" fillId="0" borderId="0" xfId="20" applyNumberFormat="1" applyFont="1"/>
    <xf numFmtId="44" fontId="2" fillId="0" borderId="0" xfId="20" applyNumberFormat="1" applyFont="1" applyFill="1" applyAlignment="1">
      <alignment horizontal="center"/>
    </xf>
    <xf numFmtId="2" fontId="2" fillId="0" borderId="0" xfId="20" applyNumberFormat="1" applyFont="1" applyAlignment="1">
      <alignment horizontal="center"/>
    </xf>
    <xf numFmtId="0" fontId="2" fillId="0" borderId="0" xfId="20" applyFont="1" applyAlignment="1">
      <alignment horizontal="left"/>
    </xf>
    <xf numFmtId="0" fontId="2" fillId="0" borderId="0" xfId="20" applyFont="1" applyAlignment="1">
      <alignment horizontal="center"/>
    </xf>
    <xf numFmtId="0" fontId="2" fillId="0" borderId="0" xfId="20" applyNumberFormat="1" applyFont="1" applyAlignment="1">
      <alignment horizontal="left"/>
    </xf>
    <xf numFmtId="167" fontId="26" fillId="10" borderId="23" xfId="20" applyNumberFormat="1" applyFont="1" applyFill="1" applyBorder="1" applyAlignment="1">
      <alignment horizontal="right"/>
    </xf>
    <xf numFmtId="43" fontId="27" fillId="0" borderId="23" xfId="4" applyFont="1" applyFill="1" applyBorder="1" applyAlignment="1">
      <alignment horizontal="right"/>
    </xf>
    <xf numFmtId="43" fontId="25" fillId="0" borderId="23" xfId="4" quotePrefix="1" applyFont="1" applyBorder="1"/>
    <xf numFmtId="0" fontId="2" fillId="0" borderId="23" xfId="20" quotePrefix="1" applyFont="1" applyBorder="1" applyAlignment="1">
      <alignment horizontal="center"/>
    </xf>
    <xf numFmtId="167" fontId="25" fillId="10" borderId="18" xfId="11" applyNumberFormat="1" applyFont="1" applyFill="1" applyBorder="1"/>
    <xf numFmtId="167" fontId="25" fillId="10" borderId="25" xfId="4" quotePrefix="1" applyNumberFormat="1" applyFont="1" applyFill="1" applyBorder="1"/>
    <xf numFmtId="168" fontId="25" fillId="10" borderId="18" xfId="4" quotePrefix="1" applyNumberFormat="1" applyFont="1" applyFill="1" applyBorder="1"/>
    <xf numFmtId="167" fontId="25" fillId="7" borderId="18" xfId="11" applyNumberFormat="1" applyFont="1" applyFill="1" applyBorder="1"/>
    <xf numFmtId="49" fontId="2" fillId="10" borderId="18" xfId="20" quotePrefix="1" applyNumberFormat="1" applyFont="1" applyFill="1" applyBorder="1" applyAlignment="1">
      <alignment horizontal="center"/>
    </xf>
    <xf numFmtId="49" fontId="2" fillId="10" borderId="26" xfId="20" quotePrefix="1" applyNumberFormat="1" applyFont="1" applyFill="1" applyBorder="1" applyAlignment="1">
      <alignment horizontal="center"/>
    </xf>
    <xf numFmtId="167" fontId="25" fillId="10" borderId="25" xfId="11" applyNumberFormat="1" applyFont="1" applyFill="1" applyBorder="1"/>
    <xf numFmtId="168" fontId="25" fillId="10" borderId="25" xfId="4" quotePrefix="1" applyNumberFormat="1" applyFont="1" applyFill="1" applyBorder="1"/>
    <xf numFmtId="167" fontId="25" fillId="7" borderId="25" xfId="11" applyNumberFormat="1" applyFont="1" applyFill="1" applyBorder="1"/>
    <xf numFmtId="49" fontId="2" fillId="10" borderId="25" xfId="20" quotePrefix="1" applyNumberFormat="1" applyFont="1" applyFill="1" applyBorder="1" applyAlignment="1">
      <alignment horizontal="center"/>
    </xf>
    <xf numFmtId="167" fontId="25" fillId="10" borderId="27" xfId="11" applyNumberFormat="1" applyFont="1" applyFill="1" applyBorder="1"/>
    <xf numFmtId="167" fontId="25" fillId="10" borderId="27" xfId="4" quotePrefix="1" applyNumberFormat="1" applyFont="1" applyFill="1" applyBorder="1"/>
    <xf numFmtId="168" fontId="25" fillId="10" borderId="27" xfId="4" quotePrefix="1" applyNumberFormat="1" applyFont="1" applyFill="1" applyBorder="1"/>
    <xf numFmtId="167" fontId="25" fillId="7" borderId="27" xfId="11" applyNumberFormat="1" applyFont="1" applyFill="1" applyBorder="1"/>
    <xf numFmtId="49" fontId="2" fillId="10" borderId="27" xfId="20" quotePrefix="1" applyNumberFormat="1" applyFont="1" applyFill="1" applyBorder="1" applyAlignment="1">
      <alignment horizontal="center"/>
    </xf>
    <xf numFmtId="49" fontId="2" fillId="10" borderId="28" xfId="20" quotePrefix="1" applyNumberFormat="1" applyFont="1" applyFill="1" applyBorder="1" applyAlignment="1">
      <alignment horizontal="center"/>
    </xf>
    <xf numFmtId="0" fontId="24" fillId="0" borderId="0" xfId="20" applyFont="1" applyAlignment="1">
      <alignment wrapText="1"/>
    </xf>
    <xf numFmtId="0" fontId="2" fillId="11" borderId="3" xfId="20" applyFont="1" applyFill="1" applyBorder="1" applyAlignment="1">
      <alignment horizontal="center" wrapText="1"/>
    </xf>
    <xf numFmtId="0" fontId="28" fillId="12" borderId="29" xfId="29" applyFont="1" applyFill="1" applyBorder="1" applyAlignment="1">
      <alignment horizontal="center" wrapText="1"/>
    </xf>
    <xf numFmtId="0" fontId="20" fillId="0" borderId="0" xfId="20" applyFont="1" applyFill="1" applyBorder="1" applyAlignment="1">
      <alignment horizontal="center" vertical="center"/>
    </xf>
    <xf numFmtId="43" fontId="25" fillId="0" borderId="0" xfId="4" quotePrefix="1" applyFont="1" applyBorder="1"/>
    <xf numFmtId="0" fontId="1" fillId="0" borderId="0" xfId="21" applyBorder="1" applyAlignment="1">
      <alignment horizontal="left" wrapText="1"/>
    </xf>
    <xf numFmtId="0" fontId="2" fillId="0" borderId="0" xfId="20" applyFont="1" applyBorder="1" applyAlignment="1">
      <alignment horizontal="left" wrapText="1"/>
    </xf>
    <xf numFmtId="167" fontId="28" fillId="0" borderId="0" xfId="29" applyNumberFormat="1" applyFont="1" applyFill="1" applyBorder="1" applyAlignment="1">
      <alignment horizontal="right" wrapText="1"/>
    </xf>
    <xf numFmtId="2" fontId="2" fillId="0" borderId="0" xfId="20" applyNumberFormat="1" applyFont="1" applyBorder="1" applyAlignment="1">
      <alignment horizontal="center"/>
    </xf>
    <xf numFmtId="0" fontId="2" fillId="0" borderId="0" xfId="20" applyFont="1" applyBorder="1" applyAlignment="1">
      <alignment horizontal="left"/>
    </xf>
    <xf numFmtId="0" fontId="2" fillId="0" borderId="0" xfId="20" applyFont="1" applyBorder="1" applyAlignment="1">
      <alignment horizontal="center"/>
    </xf>
    <xf numFmtId="43" fontId="25" fillId="0" borderId="30" xfId="4" quotePrefix="1" applyFont="1" applyBorder="1"/>
    <xf numFmtId="0" fontId="2" fillId="0" borderId="34" xfId="20" applyFont="1" applyBorder="1" applyAlignment="1">
      <alignment horizontal="left"/>
    </xf>
    <xf numFmtId="0" fontId="2" fillId="0" borderId="34" xfId="20" applyFont="1" applyBorder="1" applyAlignment="1">
      <alignment horizontal="center"/>
    </xf>
    <xf numFmtId="43" fontId="25" fillId="0" borderId="25" xfId="4" quotePrefix="1" applyFont="1" applyBorder="1"/>
    <xf numFmtId="0" fontId="2" fillId="0" borderId="36" xfId="20" applyFont="1" applyBorder="1" applyAlignment="1">
      <alignment horizontal="left"/>
    </xf>
    <xf numFmtId="0" fontId="2" fillId="0" borderId="36" xfId="20" applyFont="1" applyBorder="1" applyAlignment="1">
      <alignment horizontal="center"/>
    </xf>
    <xf numFmtId="0" fontId="28" fillId="0" borderId="36" xfId="29" applyFont="1" applyFill="1" applyBorder="1" applyAlignment="1">
      <alignment horizontal="left" wrapText="1"/>
    </xf>
    <xf numFmtId="43" fontId="25" fillId="0" borderId="27" xfId="4" quotePrefix="1" applyFont="1" applyBorder="1"/>
    <xf numFmtId="0" fontId="28" fillId="0" borderId="38" xfId="29" applyFont="1" applyFill="1" applyBorder="1" applyAlignment="1">
      <alignment horizontal="left" wrapText="1"/>
    </xf>
    <xf numFmtId="0" fontId="24" fillId="11" borderId="7" xfId="20" applyFont="1" applyFill="1" applyBorder="1" applyAlignment="1">
      <alignment horizontal="centerContinuous" wrapText="1"/>
    </xf>
    <xf numFmtId="0" fontId="24" fillId="11" borderId="10" xfId="20" applyFont="1" applyFill="1" applyBorder="1" applyAlignment="1">
      <alignment horizontal="centerContinuous" wrapText="1"/>
    </xf>
    <xf numFmtId="0" fontId="2" fillId="11" borderId="10" xfId="20" applyFont="1" applyFill="1" applyBorder="1" applyAlignment="1">
      <alignment horizontal="centerContinuous" wrapText="1"/>
    </xf>
    <xf numFmtId="0" fontId="2" fillId="11" borderId="3" xfId="20" applyFont="1" applyFill="1" applyBorder="1" applyAlignment="1">
      <alignment horizontal="centerContinuous" wrapText="1"/>
    </xf>
    <xf numFmtId="0" fontId="20" fillId="3" borderId="0" xfId="20" applyFont="1" applyFill="1" applyBorder="1" applyAlignment="1">
      <alignment horizontal="center" vertical="center"/>
    </xf>
    <xf numFmtId="0" fontId="20" fillId="13" borderId="0" xfId="20" applyFont="1" applyFill="1" applyBorder="1" applyAlignment="1">
      <alignment horizontal="center" vertical="center"/>
    </xf>
    <xf numFmtId="0" fontId="24" fillId="13" borderId="0" xfId="20" applyFont="1" applyFill="1"/>
    <xf numFmtId="0" fontId="20" fillId="13" borderId="0" xfId="20" applyFont="1" applyFill="1" applyBorder="1" applyAlignment="1">
      <alignment horizontal="left" vertical="center"/>
    </xf>
    <xf numFmtId="0" fontId="20" fillId="13" borderId="39" xfId="20" applyFont="1" applyFill="1" applyBorder="1" applyAlignment="1">
      <alignment horizontal="left" vertical="center"/>
    </xf>
    <xf numFmtId="0" fontId="20" fillId="13" borderId="13" xfId="20" applyFont="1" applyFill="1" applyBorder="1" applyAlignment="1">
      <alignment horizontal="left" vertical="center"/>
    </xf>
    <xf numFmtId="0" fontId="20" fillId="13" borderId="1" xfId="20" applyFont="1" applyFill="1" applyBorder="1" applyAlignment="1">
      <alignment horizontal="left" vertical="center"/>
    </xf>
    <xf numFmtId="43" fontId="25" fillId="0" borderId="30" xfId="4" quotePrefix="1" applyFont="1" applyFill="1" applyBorder="1"/>
    <xf numFmtId="0" fontId="2" fillId="0" borderId="34" xfId="20" applyFont="1" applyFill="1" applyBorder="1" applyAlignment="1">
      <alignment horizontal="left"/>
    </xf>
    <xf numFmtId="0" fontId="2" fillId="0" borderId="34" xfId="20" applyFont="1" applyFill="1" applyBorder="1" applyAlignment="1">
      <alignment horizontal="center"/>
    </xf>
    <xf numFmtId="43" fontId="25" fillId="0" borderId="25" xfId="4" quotePrefix="1" applyFont="1" applyFill="1" applyBorder="1"/>
    <xf numFmtId="0" fontId="2" fillId="0" borderId="36" xfId="20" applyFont="1" applyFill="1" applyBorder="1" applyAlignment="1">
      <alignment horizontal="left"/>
    </xf>
    <xf numFmtId="0" fontId="2" fillId="0" borderId="36" xfId="20" applyFont="1" applyFill="1" applyBorder="1" applyAlignment="1">
      <alignment horizontal="center"/>
    </xf>
    <xf numFmtId="43" fontId="25" fillId="0" borderId="27" xfId="4" quotePrefix="1" applyFont="1" applyFill="1" applyBorder="1"/>
    <xf numFmtId="0" fontId="4" fillId="2" borderId="0" xfId="20" applyFont="1" applyFill="1"/>
    <xf numFmtId="0" fontId="5" fillId="2" borderId="0" xfId="20" applyFont="1" applyFill="1" applyBorder="1" applyAlignment="1">
      <alignment horizontal="center"/>
    </xf>
    <xf numFmtId="0" fontId="5" fillId="2" borderId="0" xfId="20" applyFont="1" applyFill="1" applyBorder="1"/>
    <xf numFmtId="0" fontId="5" fillId="2" borderId="40" xfId="20" applyFont="1" applyFill="1" applyBorder="1" applyAlignment="1">
      <alignment horizontal="center"/>
    </xf>
    <xf numFmtId="44" fontId="4" fillId="2" borderId="41" xfId="20" applyNumberFormat="1" applyFont="1" applyFill="1" applyBorder="1"/>
    <xf numFmtId="0" fontId="5" fillId="2" borderId="41" xfId="20" applyFont="1" applyFill="1" applyBorder="1"/>
    <xf numFmtId="0" fontId="4" fillId="2" borderId="41" xfId="20" applyFont="1" applyFill="1" applyBorder="1" applyAlignment="1"/>
    <xf numFmtId="0" fontId="5" fillId="2" borderId="42" xfId="20" applyFont="1" applyFill="1" applyBorder="1"/>
    <xf numFmtId="0" fontId="5" fillId="2" borderId="43" xfId="20" applyFont="1" applyFill="1" applyBorder="1" applyAlignment="1">
      <alignment horizontal="center"/>
    </xf>
    <xf numFmtId="44" fontId="4" fillId="2" borderId="44" xfId="9" applyFont="1" applyFill="1" applyBorder="1"/>
    <xf numFmtId="0" fontId="5" fillId="2" borderId="44" xfId="20" applyFont="1" applyFill="1" applyBorder="1"/>
    <xf numFmtId="0" fontId="4" fillId="2" borderId="44" xfId="20" applyFont="1" applyFill="1" applyBorder="1" applyAlignment="1"/>
    <xf numFmtId="0" fontId="4" fillId="2" borderId="0" xfId="20" applyFont="1" applyFill="1" applyBorder="1" applyAlignment="1">
      <alignment horizontal="center"/>
    </xf>
    <xf numFmtId="44" fontId="4" fillId="2" borderId="0" xfId="20" applyNumberFormat="1" applyFont="1" applyFill="1" applyBorder="1"/>
    <xf numFmtId="0" fontId="4" fillId="2" borderId="0" xfId="20" applyFont="1" applyFill="1" applyBorder="1"/>
    <xf numFmtId="0" fontId="4" fillId="2" borderId="0" xfId="20" applyFont="1" applyFill="1" applyBorder="1" applyAlignment="1">
      <alignment horizontal="left" indent="3"/>
    </xf>
    <xf numFmtId="0" fontId="5" fillId="2" borderId="45" xfId="20" applyFont="1" applyFill="1" applyBorder="1"/>
    <xf numFmtId="0" fontId="4" fillId="2" borderId="43" xfId="20" applyFont="1" applyFill="1" applyBorder="1" applyAlignment="1">
      <alignment horizontal="center"/>
    </xf>
    <xf numFmtId="7" fontId="4" fillId="2" borderId="0" xfId="24" applyNumberFormat="1" applyFont="1" applyFill="1" applyBorder="1"/>
    <xf numFmtId="0" fontId="4" fillId="2" borderId="0" xfId="20" applyFont="1" applyFill="1" applyBorder="1" applyAlignment="1"/>
    <xf numFmtId="44" fontId="4" fillId="2" borderId="0" xfId="9" applyNumberFormat="1" applyFont="1" applyFill="1" applyBorder="1"/>
    <xf numFmtId="10" fontId="4" fillId="2" borderId="0" xfId="24" applyNumberFormat="1" applyFont="1" applyFill="1" applyBorder="1"/>
    <xf numFmtId="0" fontId="5" fillId="2" borderId="46" xfId="20" applyFont="1" applyFill="1" applyBorder="1"/>
    <xf numFmtId="10" fontId="4" fillId="2" borderId="43" xfId="24" applyNumberFormat="1" applyFont="1" applyFill="1" applyBorder="1" applyAlignment="1">
      <alignment horizontal="center"/>
    </xf>
    <xf numFmtId="165" fontId="4" fillId="2" borderId="0" xfId="9" applyNumberFormat="1" applyFont="1" applyFill="1" applyBorder="1"/>
    <xf numFmtId="165" fontId="4" fillId="2" borderId="47" xfId="20" applyNumberFormat="1" applyFont="1" applyFill="1" applyBorder="1"/>
    <xf numFmtId="165" fontId="4" fillId="2" borderId="48" xfId="20" applyNumberFormat="1" applyFont="1" applyFill="1" applyBorder="1"/>
    <xf numFmtId="165" fontId="4" fillId="2" borderId="0" xfId="20" applyNumberFormat="1" applyFont="1" applyFill="1" applyBorder="1"/>
    <xf numFmtId="0" fontId="9" fillId="2" borderId="0" xfId="20" applyFont="1" applyFill="1" applyBorder="1" applyAlignment="1">
      <alignment horizontal="center"/>
    </xf>
    <xf numFmtId="0" fontId="4" fillId="2" borderId="45" xfId="20" applyFont="1" applyFill="1" applyBorder="1" applyAlignment="1">
      <alignment horizontal="center"/>
    </xf>
    <xf numFmtId="10" fontId="5" fillId="2" borderId="43" xfId="24" applyNumberFormat="1" applyFont="1" applyFill="1" applyBorder="1" applyAlignment="1">
      <alignment horizontal="center"/>
    </xf>
    <xf numFmtId="165" fontId="5" fillId="2" borderId="0" xfId="9" applyNumberFormat="1" applyFont="1" applyFill="1" applyBorder="1"/>
    <xf numFmtId="10" fontId="5" fillId="4" borderId="0" xfId="24" applyNumberFormat="1" applyFont="1" applyFill="1" applyBorder="1" applyAlignment="1">
      <alignment horizontal="center"/>
    </xf>
    <xf numFmtId="0" fontId="5" fillId="2" borderId="0" xfId="20" applyFont="1" applyFill="1" applyBorder="1" applyAlignment="1">
      <alignment horizontal="left" indent="1"/>
    </xf>
    <xf numFmtId="0" fontId="5" fillId="2" borderId="47" xfId="20" applyFont="1" applyFill="1" applyBorder="1"/>
    <xf numFmtId="0" fontId="5" fillId="2" borderId="48" xfId="20" applyFont="1" applyFill="1" applyBorder="1"/>
    <xf numFmtId="10" fontId="5" fillId="2" borderId="0" xfId="24" applyNumberFormat="1" applyFont="1" applyFill="1" applyBorder="1" applyAlignment="1">
      <alignment horizontal="center"/>
    </xf>
    <xf numFmtId="0" fontId="29" fillId="2" borderId="0" xfId="20" applyFont="1" applyFill="1" applyBorder="1"/>
    <xf numFmtId="0" fontId="9" fillId="2" borderId="0" xfId="20" applyFont="1" applyFill="1" applyBorder="1"/>
    <xf numFmtId="165" fontId="4" fillId="2" borderId="3" xfId="20" applyNumberFormat="1" applyFont="1" applyFill="1" applyBorder="1"/>
    <xf numFmtId="165" fontId="5" fillId="2" borderId="0" xfId="20" applyNumberFormat="1" applyFont="1" applyFill="1" applyBorder="1"/>
    <xf numFmtId="165" fontId="5" fillId="0" borderId="0" xfId="9" applyNumberFormat="1" applyFont="1" applyFill="1" applyBorder="1"/>
    <xf numFmtId="3" fontId="5" fillId="2" borderId="47" xfId="20" applyNumberFormat="1" applyFont="1" applyFill="1" applyBorder="1"/>
    <xf numFmtId="3" fontId="5" fillId="2" borderId="48" xfId="20" applyNumberFormat="1" applyFont="1" applyFill="1" applyBorder="1"/>
    <xf numFmtId="3" fontId="5" fillId="2" borderId="0" xfId="20" applyNumberFormat="1" applyFont="1" applyFill="1" applyBorder="1"/>
    <xf numFmtId="3" fontId="4" fillId="2" borderId="47" xfId="20" applyNumberFormat="1" applyFont="1" applyFill="1" applyBorder="1"/>
    <xf numFmtId="3" fontId="4" fillId="2" borderId="48" xfId="20" applyNumberFormat="1" applyFont="1" applyFill="1" applyBorder="1"/>
    <xf numFmtId="3" fontId="4" fillId="7" borderId="3" xfId="20" applyNumberFormat="1" applyFont="1" applyFill="1" applyBorder="1"/>
    <xf numFmtId="0" fontId="4" fillId="2" borderId="43" xfId="20" applyFont="1" applyFill="1" applyBorder="1" applyAlignment="1">
      <alignment horizontal="center" wrapText="1"/>
    </xf>
    <xf numFmtId="0" fontId="4" fillId="2" borderId="0" xfId="20" applyFont="1" applyFill="1" applyBorder="1" applyAlignment="1">
      <alignment horizontal="center" wrapText="1"/>
    </xf>
    <xf numFmtId="0" fontId="5" fillId="2" borderId="24" xfId="20" applyFont="1" applyFill="1" applyBorder="1"/>
    <xf numFmtId="0" fontId="5" fillId="2" borderId="51" xfId="20" applyFont="1" applyFill="1" applyBorder="1"/>
    <xf numFmtId="44" fontId="4" fillId="2" borderId="0" xfId="9" applyFont="1" applyFill="1" applyBorder="1"/>
    <xf numFmtId="44" fontId="32" fillId="2" borderId="41" xfId="9" applyFont="1" applyFill="1" applyBorder="1"/>
    <xf numFmtId="44" fontId="4" fillId="2" borderId="0" xfId="24" applyNumberFormat="1" applyFont="1" applyFill="1" applyBorder="1"/>
    <xf numFmtId="0" fontId="5" fillId="2" borderId="0" xfId="20" applyFont="1" applyFill="1" applyBorder="1" applyAlignment="1"/>
    <xf numFmtId="0" fontId="29" fillId="2" borderId="45" xfId="20" applyFont="1" applyFill="1" applyBorder="1"/>
    <xf numFmtId="0" fontId="9" fillId="2" borderId="54" xfId="20" applyFont="1" applyFill="1" applyBorder="1" applyAlignment="1">
      <alignment horizontal="center"/>
    </xf>
    <xf numFmtId="0" fontId="9" fillId="2" borderId="55" xfId="20" applyFont="1" applyFill="1" applyBorder="1" applyAlignment="1">
      <alignment horizontal="center"/>
    </xf>
    <xf numFmtId="0" fontId="9" fillId="2" borderId="45" xfId="20" applyFont="1" applyFill="1" applyBorder="1" applyAlignment="1">
      <alignment horizontal="left"/>
    </xf>
    <xf numFmtId="10" fontId="5" fillId="2" borderId="0" xfId="24" applyNumberFormat="1" applyFont="1" applyFill="1" applyBorder="1"/>
    <xf numFmtId="44" fontId="5" fillId="2" borderId="0" xfId="9" applyFont="1" applyFill="1" applyBorder="1"/>
    <xf numFmtId="0" fontId="5" fillId="7" borderId="0" xfId="20" applyFont="1" applyFill="1" applyBorder="1" applyAlignment="1">
      <alignment horizontal="right"/>
    </xf>
    <xf numFmtId="44" fontId="5" fillId="7" borderId="0" xfId="9" applyFont="1" applyFill="1" applyBorder="1"/>
    <xf numFmtId="0" fontId="5" fillId="2" borderId="56" xfId="20" applyFont="1" applyFill="1" applyBorder="1" applyAlignment="1">
      <alignment horizontal="center"/>
    </xf>
    <xf numFmtId="0" fontId="5" fillId="2" borderId="56" xfId="20" applyFont="1" applyFill="1" applyBorder="1"/>
    <xf numFmtId="0" fontId="4" fillId="2" borderId="0" xfId="20" applyFont="1" applyFill="1" applyBorder="1" applyAlignment="1">
      <alignment vertical="center"/>
    </xf>
    <xf numFmtId="49" fontId="4" fillId="2" borderId="0" xfId="20" applyNumberFormat="1" applyFont="1" applyFill="1" applyAlignment="1">
      <alignment horizontal="center"/>
    </xf>
    <xf numFmtId="44" fontId="4" fillId="7" borderId="3" xfId="9" applyFont="1" applyFill="1" applyBorder="1"/>
    <xf numFmtId="44" fontId="14" fillId="7" borderId="3" xfId="9" applyFont="1" applyFill="1" applyBorder="1"/>
    <xf numFmtId="0" fontId="4" fillId="2" borderId="0" xfId="20" applyFont="1" applyFill="1" applyBorder="1" applyAlignment="1">
      <alignment horizontal="left"/>
    </xf>
    <xf numFmtId="0" fontId="5" fillId="7" borderId="0" xfId="20" applyFont="1" applyFill="1" applyBorder="1" applyAlignment="1">
      <alignment horizontal="center"/>
    </xf>
    <xf numFmtId="0" fontId="5" fillId="7" borderId="0" xfId="20" applyFont="1" applyFill="1"/>
    <xf numFmtId="0" fontId="14" fillId="13" borderId="0" xfId="20" applyFont="1" applyFill="1" applyAlignment="1">
      <alignment horizontal="center"/>
    </xf>
    <xf numFmtId="0" fontId="14" fillId="13" borderId="0" xfId="20" applyFont="1" applyFill="1" applyAlignment="1">
      <alignment horizontal="center" vertical="center"/>
    </xf>
    <xf numFmtId="0" fontId="34" fillId="2" borderId="0" xfId="20" applyFont="1" applyFill="1" applyAlignment="1">
      <alignment horizontal="center" vertical="top" textRotation="9"/>
    </xf>
    <xf numFmtId="0" fontId="35" fillId="2" borderId="0" xfId="20" applyFont="1" applyFill="1" applyAlignment="1">
      <alignment horizontal="left" vertical="center"/>
    </xf>
    <xf numFmtId="0" fontId="35" fillId="7" borderId="0" xfId="20" applyFont="1" applyFill="1" applyAlignment="1">
      <alignment horizontal="left" vertical="center"/>
    </xf>
    <xf numFmtId="0" fontId="36" fillId="2" borderId="0" xfId="20" applyFont="1" applyFill="1" applyAlignment="1">
      <alignment horizontal="left" vertical="center"/>
    </xf>
    <xf numFmtId="0" fontId="37" fillId="2" borderId="0" xfId="20" applyFont="1" applyFill="1"/>
    <xf numFmtId="0" fontId="38" fillId="2" borderId="0" xfId="20" applyFont="1" applyFill="1" applyAlignment="1">
      <alignment horizontal="left" vertical="center"/>
    </xf>
    <xf numFmtId="0" fontId="39" fillId="2" borderId="0" xfId="20" applyFont="1" applyFill="1" applyAlignment="1">
      <alignment horizontal="left" vertical="center"/>
    </xf>
    <xf numFmtId="0" fontId="40" fillId="2" borderId="0" xfId="20" applyFont="1" applyFill="1" applyAlignment="1">
      <alignment horizontal="left" vertical="center"/>
    </xf>
    <xf numFmtId="165" fontId="5" fillId="6" borderId="0" xfId="9" applyNumberFormat="1" applyFont="1" applyFill="1"/>
    <xf numFmtId="165" fontId="33" fillId="6" borderId="0" xfId="9" applyNumberFormat="1" applyFont="1" applyFill="1" applyBorder="1"/>
    <xf numFmtId="0" fontId="5" fillId="6" borderId="0" xfId="1" applyFont="1" applyFill="1" applyBorder="1"/>
    <xf numFmtId="0" fontId="5" fillId="6" borderId="0" xfId="1" applyFont="1" applyFill="1" applyBorder="1" applyAlignment="1">
      <alignment horizontal="left" indent="1"/>
    </xf>
    <xf numFmtId="0" fontId="5" fillId="0" borderId="0" xfId="1" applyFont="1" applyFill="1" applyAlignment="1">
      <alignment horizontal="center"/>
    </xf>
    <xf numFmtId="164" fontId="13" fillId="0" borderId="9" xfId="1" applyNumberFormat="1" applyFont="1" applyFill="1" applyBorder="1" applyAlignment="1">
      <alignment vertical="top"/>
    </xf>
    <xf numFmtId="49" fontId="13" fillId="0" borderId="3" xfId="1" applyNumberFormat="1" applyFont="1" applyFill="1" applyBorder="1" applyAlignment="1">
      <alignment vertical="top"/>
    </xf>
    <xf numFmtId="49" fontId="13" fillId="0" borderId="8" xfId="1" applyNumberFormat="1" applyFont="1" applyFill="1" applyBorder="1" applyAlignment="1">
      <alignment vertical="top"/>
    </xf>
    <xf numFmtId="0" fontId="5" fillId="6" borderId="0" xfId="1" applyFont="1" applyFill="1" applyAlignment="1">
      <alignment horizontal="center"/>
    </xf>
    <xf numFmtId="49" fontId="13" fillId="12" borderId="58" xfId="1" applyNumberFormat="1" applyFont="1" applyFill="1" applyBorder="1" applyAlignment="1">
      <alignment horizontal="center" wrapText="1"/>
    </xf>
    <xf numFmtId="49" fontId="13" fillId="12" borderId="59" xfId="1" applyNumberFormat="1" applyFont="1" applyFill="1" applyBorder="1" applyAlignment="1">
      <alignment horizontal="center" wrapText="1"/>
    </xf>
    <xf numFmtId="49" fontId="13" fillId="12" borderId="59" xfId="1" applyNumberFormat="1" applyFont="1" applyFill="1" applyBorder="1" applyAlignment="1">
      <alignment horizontal="center"/>
    </xf>
    <xf numFmtId="49" fontId="13" fillId="12" borderId="60" xfId="1" applyNumberFormat="1" applyFont="1" applyFill="1" applyBorder="1" applyAlignment="1">
      <alignment horizontal="center" wrapText="1"/>
    </xf>
    <xf numFmtId="0" fontId="15" fillId="0" borderId="61" xfId="1" applyFont="1" applyFill="1" applyBorder="1" applyAlignment="1">
      <alignment horizontal="center"/>
    </xf>
    <xf numFmtId="0" fontId="5" fillId="0" borderId="62" xfId="1" applyFont="1" applyFill="1" applyBorder="1"/>
    <xf numFmtId="0" fontId="31" fillId="0" borderId="62" xfId="1" applyFont="1" applyFill="1" applyBorder="1" applyAlignment="1">
      <alignment horizontal="center" vertical="center"/>
    </xf>
    <xf numFmtId="0" fontId="4" fillId="0" borderId="63" xfId="1" applyFont="1" applyFill="1" applyBorder="1" applyAlignment="1">
      <alignment horizontal="left" indent="1"/>
    </xf>
    <xf numFmtId="0" fontId="4" fillId="6" borderId="0" xfId="1" applyFont="1" applyFill="1" applyBorder="1" applyAlignment="1">
      <alignment horizontal="left"/>
    </xf>
    <xf numFmtId="0" fontId="6" fillId="6" borderId="0" xfId="1" applyFont="1" applyFill="1"/>
    <xf numFmtId="0" fontId="4" fillId="6" borderId="0" xfId="1" applyFont="1" applyFill="1"/>
    <xf numFmtId="0" fontId="3" fillId="6" borderId="0" xfId="1" applyFont="1" applyFill="1"/>
    <xf numFmtId="0" fontId="5" fillId="6" borderId="3" xfId="1" applyFont="1" applyFill="1" applyBorder="1"/>
    <xf numFmtId="165" fontId="5" fillId="6" borderId="3" xfId="9" applyNumberFormat="1" applyFont="1" applyFill="1" applyBorder="1"/>
    <xf numFmtId="0" fontId="5" fillId="6" borderId="0" xfId="1" applyFont="1" applyFill="1" applyAlignment="1">
      <alignment wrapText="1"/>
    </xf>
    <xf numFmtId="0" fontId="19" fillId="2" borderId="0" xfId="1" applyFont="1" applyFill="1"/>
    <xf numFmtId="0" fontId="43" fillId="2" borderId="0" xfId="16" applyFont="1" applyFill="1" applyAlignment="1" applyProtection="1"/>
    <xf numFmtId="0" fontId="5" fillId="2" borderId="0" xfId="1" applyFont="1" applyFill="1" applyBorder="1" applyAlignment="1">
      <alignment horizontal="right"/>
    </xf>
    <xf numFmtId="0" fontId="5" fillId="2" borderId="0" xfId="1" applyFont="1" applyFill="1" applyAlignment="1">
      <alignment horizontal="right"/>
    </xf>
    <xf numFmtId="0" fontId="2" fillId="2" borderId="64" xfId="1" applyFont="1" applyFill="1" applyBorder="1"/>
    <xf numFmtId="0" fontId="2" fillId="2" borderId="0" xfId="1" applyFont="1" applyFill="1" applyBorder="1" applyAlignment="1">
      <alignment horizontal="right"/>
    </xf>
    <xf numFmtId="0" fontId="2" fillId="2" borderId="0" xfId="1" applyFont="1" applyFill="1" applyAlignment="1">
      <alignment horizontal="right"/>
    </xf>
    <xf numFmtId="0" fontId="2" fillId="2" borderId="65" xfId="1" applyFont="1" applyFill="1" applyBorder="1"/>
    <xf numFmtId="0" fontId="2" fillId="2" borderId="14" xfId="1" applyFont="1" applyFill="1" applyBorder="1"/>
    <xf numFmtId="0" fontId="2" fillId="2" borderId="15" xfId="1" applyFont="1" applyFill="1" applyBorder="1"/>
    <xf numFmtId="0" fontId="2" fillId="5" borderId="15" xfId="1" applyFont="1" applyFill="1" applyBorder="1"/>
    <xf numFmtId="0" fontId="2" fillId="2" borderId="66" xfId="1" applyFont="1" applyFill="1" applyBorder="1"/>
    <xf numFmtId="0" fontId="2" fillId="2" borderId="4" xfId="1" applyFont="1" applyFill="1" applyBorder="1"/>
    <xf numFmtId="0" fontId="2" fillId="2" borderId="3" xfId="1" applyFont="1" applyFill="1" applyBorder="1"/>
    <xf numFmtId="0" fontId="2" fillId="5" borderId="3" xfId="1" applyFont="1" applyFill="1" applyBorder="1"/>
    <xf numFmtId="0" fontId="2" fillId="2" borderId="67" xfId="1" applyFont="1" applyFill="1" applyBorder="1"/>
    <xf numFmtId="0" fontId="2" fillId="2" borderId="17" xfId="1" applyFont="1" applyFill="1" applyBorder="1"/>
    <xf numFmtId="0" fontId="2" fillId="2" borderId="18" xfId="1" applyFont="1" applyFill="1" applyBorder="1"/>
    <xf numFmtId="0" fontId="2" fillId="5" borderId="18" xfId="1" applyFont="1" applyFill="1" applyBorder="1"/>
    <xf numFmtId="0" fontId="2" fillId="2" borderId="68" xfId="1" applyFont="1" applyFill="1" applyBorder="1"/>
    <xf numFmtId="0" fontId="2" fillId="2" borderId="0" xfId="1" applyFont="1" applyFill="1" applyAlignment="1">
      <alignment vertical="center" wrapText="1"/>
    </xf>
    <xf numFmtId="0" fontId="2" fillId="4" borderId="2" xfId="1" applyFont="1" applyFill="1" applyBorder="1" applyAlignment="1">
      <alignment horizontal="center" vertical="center" wrapText="1"/>
    </xf>
    <xf numFmtId="0" fontId="2" fillId="4" borderId="69" xfId="1" applyFont="1" applyFill="1" applyBorder="1" applyAlignment="1">
      <alignment horizontal="center" vertical="center" wrapText="1"/>
    </xf>
    <xf numFmtId="0" fontId="2" fillId="4" borderId="52" xfId="1" applyFont="1" applyFill="1" applyBorder="1" applyAlignment="1">
      <alignment horizontal="center" vertical="center" wrapText="1"/>
    </xf>
    <xf numFmtId="0" fontId="2" fillId="5" borderId="59" xfId="1" applyFont="1" applyFill="1" applyBorder="1" applyAlignment="1">
      <alignment horizontal="center" vertical="center" wrapText="1"/>
    </xf>
    <xf numFmtId="0" fontId="2" fillId="4" borderId="1" xfId="1" applyFont="1" applyFill="1" applyBorder="1" applyAlignment="1">
      <alignment horizontal="center" vertical="center" wrapText="1"/>
    </xf>
    <xf numFmtId="10" fontId="5" fillId="2" borderId="39" xfId="26" applyNumberFormat="1" applyFont="1" applyFill="1" applyBorder="1" applyAlignment="1">
      <alignment horizontal="center" vertical="center"/>
    </xf>
    <xf numFmtId="0" fontId="5" fillId="2" borderId="1" xfId="1" applyFont="1" applyFill="1" applyBorder="1" applyAlignment="1">
      <alignment horizontal="right" vertical="center"/>
    </xf>
    <xf numFmtId="0" fontId="5" fillId="5" borderId="7" xfId="1" applyFont="1" applyFill="1" applyBorder="1"/>
    <xf numFmtId="0" fontId="5" fillId="5" borderId="10" xfId="1" applyFont="1" applyFill="1" applyBorder="1"/>
    <xf numFmtId="0" fontId="5" fillId="5" borderId="10" xfId="1" applyFont="1" applyFill="1" applyBorder="1" applyAlignment="1">
      <alignment horizontal="left" vertical="center"/>
    </xf>
    <xf numFmtId="0" fontId="5" fillId="5" borderId="4" xfId="1" applyFont="1" applyFill="1" applyBorder="1" applyAlignment="1">
      <alignment horizontal="left" vertical="center"/>
    </xf>
    <xf numFmtId="0" fontId="29" fillId="0" borderId="0" xfId="1" applyFont="1" applyFill="1" applyBorder="1"/>
    <xf numFmtId="0" fontId="2" fillId="0" borderId="0" xfId="1" applyFont="1" applyFill="1"/>
    <xf numFmtId="0" fontId="3" fillId="0" borderId="0" xfId="1" applyFont="1" applyFill="1"/>
    <xf numFmtId="0" fontId="5" fillId="0" borderId="0" xfId="1" applyFont="1" applyFill="1" applyBorder="1" applyAlignment="1">
      <alignment horizontal="right"/>
    </xf>
    <xf numFmtId="0" fontId="5" fillId="0" borderId="0" xfId="1" applyFont="1" applyFill="1" applyAlignment="1">
      <alignment horizontal="right"/>
    </xf>
    <xf numFmtId="0" fontId="2" fillId="0" borderId="0" xfId="1" applyFont="1" applyFill="1" applyBorder="1" applyAlignment="1">
      <alignment horizontal="right"/>
    </xf>
    <xf numFmtId="0" fontId="2" fillId="0" borderId="0" xfId="1" applyFont="1" applyFill="1" applyAlignment="1">
      <alignment horizontal="right"/>
    </xf>
    <xf numFmtId="0" fontId="2" fillId="2" borderId="70" xfId="1" applyFont="1" applyFill="1" applyBorder="1"/>
    <xf numFmtId="0" fontId="2" fillId="2" borderId="71" xfId="1" applyFont="1" applyFill="1" applyBorder="1"/>
    <xf numFmtId="0" fontId="2" fillId="0" borderId="17" xfId="1" applyFont="1" applyFill="1" applyBorder="1"/>
    <xf numFmtId="0" fontId="2" fillId="2" borderId="0" xfId="1" applyFont="1" applyFill="1" applyAlignment="1">
      <alignment vertical="center"/>
    </xf>
    <xf numFmtId="0" fontId="26" fillId="3" borderId="2" xfId="1" applyFont="1" applyFill="1" applyBorder="1" applyAlignment="1">
      <alignment horizontal="center" vertical="center" wrapText="1"/>
    </xf>
    <xf numFmtId="0" fontId="5" fillId="0" borderId="1" xfId="1" applyFont="1" applyFill="1" applyBorder="1" applyAlignment="1">
      <alignment horizontal="right" vertical="center"/>
    </xf>
    <xf numFmtId="0" fontId="5" fillId="0" borderId="0" xfId="1" applyFont="1" applyFill="1" applyAlignment="1">
      <alignment horizontal="left" vertical="center"/>
    </xf>
    <xf numFmtId="0" fontId="3" fillId="0" borderId="0" xfId="1" applyFont="1" applyFill="1" applyAlignment="1">
      <alignment horizontal="left" vertical="center"/>
    </xf>
    <xf numFmtId="0" fontId="44" fillId="2" borderId="0" xfId="1" applyFont="1" applyFill="1"/>
    <xf numFmtId="0" fontId="45" fillId="0" borderId="0" xfId="1" applyFont="1" applyFill="1"/>
    <xf numFmtId="0" fontId="45" fillId="2" borderId="0" xfId="1" applyFont="1" applyFill="1"/>
    <xf numFmtId="0" fontId="2" fillId="2" borderId="0" xfId="1" applyFont="1" applyFill="1" applyAlignment="1">
      <alignment horizontal="left" vertical="center"/>
    </xf>
    <xf numFmtId="0" fontId="8" fillId="2" borderId="0" xfId="1" applyFont="1" applyFill="1" applyAlignment="1">
      <alignment horizontal="left" vertical="center"/>
    </xf>
    <xf numFmtId="0" fontId="26" fillId="2" borderId="0" xfId="1" applyFont="1" applyFill="1" applyAlignment="1">
      <alignment horizontal="left" vertical="center"/>
    </xf>
    <xf numFmtId="0" fontId="25" fillId="0" borderId="3" xfId="0" applyFont="1" applyBorder="1" applyAlignment="1">
      <alignment vertical="top"/>
    </xf>
    <xf numFmtId="0" fontId="2" fillId="5" borderId="3" xfId="1" applyFont="1" applyFill="1" applyBorder="1" applyAlignment="1">
      <alignment horizontal="center" vertical="center" wrapText="1"/>
    </xf>
    <xf numFmtId="0" fontId="25" fillId="15" borderId="3" xfId="0" applyFont="1" applyFill="1" applyBorder="1" applyAlignment="1">
      <alignment horizontal="center" vertical="center"/>
    </xf>
    <xf numFmtId="0" fontId="5" fillId="5" borderId="37" xfId="1" applyFont="1" applyFill="1" applyBorder="1"/>
    <xf numFmtId="0" fontId="5" fillId="5" borderId="23" xfId="1" applyFont="1" applyFill="1" applyBorder="1"/>
    <xf numFmtId="0" fontId="5" fillId="5" borderId="23" xfId="1" applyFont="1" applyFill="1" applyBorder="1" applyAlignment="1">
      <alignment horizontal="left" vertical="center"/>
    </xf>
    <xf numFmtId="0" fontId="5" fillId="5" borderId="28" xfId="1" applyFont="1" applyFill="1" applyBorder="1" applyAlignment="1">
      <alignment horizontal="left" vertical="center"/>
    </xf>
    <xf numFmtId="165" fontId="5" fillId="6" borderId="0" xfId="12" applyNumberFormat="1" applyFont="1" applyFill="1"/>
    <xf numFmtId="43" fontId="5" fillId="6" borderId="0" xfId="2" applyFont="1" applyFill="1"/>
    <xf numFmtId="0" fontId="4" fillId="6" borderId="3" xfId="1" applyFont="1" applyFill="1" applyBorder="1"/>
    <xf numFmtId="43" fontId="4" fillId="6" borderId="3" xfId="2" applyFont="1" applyFill="1" applyBorder="1" applyAlignment="1">
      <alignment horizontal="center"/>
    </xf>
    <xf numFmtId="44" fontId="4" fillId="6" borderId="3" xfId="12" applyFont="1" applyFill="1" applyBorder="1" applyAlignment="1">
      <alignment horizontal="center"/>
    </xf>
    <xf numFmtId="0" fontId="4" fillId="6" borderId="3" xfId="1" applyFont="1" applyFill="1" applyBorder="1" applyAlignment="1">
      <alignment horizontal="center"/>
    </xf>
    <xf numFmtId="0" fontId="4" fillId="6" borderId="0" xfId="1" applyFont="1" applyFill="1" applyBorder="1" applyAlignment="1">
      <alignment horizontal="center" vertical="top"/>
    </xf>
    <xf numFmtId="0" fontId="4" fillId="7" borderId="3" xfId="1" applyFont="1" applyFill="1" applyBorder="1" applyAlignment="1">
      <alignment horizontal="center" vertical="center" wrapText="1"/>
    </xf>
    <xf numFmtId="165" fontId="5" fillId="12" borderId="3" xfId="12" applyNumberFormat="1" applyFont="1" applyFill="1" applyBorder="1" applyAlignment="1">
      <alignment horizontal="center" vertical="center" wrapText="1"/>
    </xf>
    <xf numFmtId="165" fontId="5" fillId="12" borderId="3" xfId="12" applyNumberFormat="1" applyFont="1" applyFill="1" applyBorder="1" applyAlignment="1">
      <alignment horizontal="center" vertical="top" wrapText="1"/>
    </xf>
    <xf numFmtId="0" fontId="4" fillId="6" borderId="0" xfId="1" applyFont="1" applyFill="1" applyBorder="1" applyAlignment="1">
      <alignment horizontal="center"/>
    </xf>
    <xf numFmtId="0" fontId="15" fillId="0" borderId="3" xfId="1" applyFont="1" applyFill="1" applyBorder="1" applyAlignment="1">
      <alignment horizontal="center" vertical="center"/>
    </xf>
    <xf numFmtId="0" fontId="15" fillId="0" borderId="0" xfId="1" applyFont="1" applyFill="1" applyBorder="1" applyAlignment="1">
      <alignment horizontal="center"/>
    </xf>
    <xf numFmtId="0" fontId="31" fillId="0" borderId="0" xfId="1" applyFont="1" applyFill="1" applyBorder="1" applyAlignment="1">
      <alignment horizontal="center" vertical="center"/>
    </xf>
    <xf numFmtId="0" fontId="4" fillId="0" borderId="0" xfId="1" applyFont="1" applyFill="1" applyBorder="1" applyAlignment="1">
      <alignment horizontal="left" indent="1"/>
    </xf>
    <xf numFmtId="165" fontId="5" fillId="6" borderId="0" xfId="12" applyNumberFormat="1" applyFont="1" applyFill="1" applyBorder="1"/>
    <xf numFmtId="165" fontId="5" fillId="7" borderId="0" xfId="12" applyNumberFormat="1" applyFont="1" applyFill="1" applyBorder="1"/>
    <xf numFmtId="0" fontId="5" fillId="7" borderId="0" xfId="1" applyFont="1" applyFill="1" applyBorder="1"/>
    <xf numFmtId="0" fontId="5" fillId="7" borderId="0" xfId="1" applyFont="1" applyFill="1"/>
    <xf numFmtId="0" fontId="4" fillId="2" borderId="21" xfId="1" applyFont="1" applyFill="1" applyBorder="1"/>
    <xf numFmtId="44" fontId="4" fillId="2" borderId="52" xfId="14" applyFont="1" applyFill="1" applyBorder="1" applyAlignment="1">
      <alignment wrapText="1"/>
    </xf>
    <xf numFmtId="44" fontId="4" fillId="2" borderId="53" xfId="14" applyFont="1" applyFill="1" applyBorder="1" applyAlignment="1">
      <alignment wrapText="1"/>
    </xf>
    <xf numFmtId="0" fontId="4" fillId="2" borderId="0" xfId="1" quotePrefix="1" applyFont="1" applyFill="1" applyBorder="1" applyAlignment="1">
      <alignment horizontal="right" wrapText="1"/>
    </xf>
    <xf numFmtId="0" fontId="5" fillId="2" borderId="15" xfId="1" applyFont="1" applyFill="1" applyBorder="1" applyAlignment="1">
      <alignment wrapText="1"/>
    </xf>
    <xf numFmtId="0" fontId="5" fillId="2" borderId="66" xfId="1" applyFont="1" applyFill="1" applyBorder="1" applyAlignment="1">
      <alignment wrapText="1"/>
    </xf>
    <xf numFmtId="0" fontId="5" fillId="2" borderId="67" xfId="1" applyFont="1" applyFill="1" applyBorder="1" applyAlignment="1">
      <alignment wrapText="1"/>
    </xf>
    <xf numFmtId="0" fontId="5" fillId="2" borderId="16" xfId="1" applyFont="1" applyFill="1" applyBorder="1"/>
    <xf numFmtId="0" fontId="5" fillId="2" borderId="18" xfId="1" applyFont="1" applyFill="1" applyBorder="1" applyAlignment="1">
      <alignment wrapText="1"/>
    </xf>
    <xf numFmtId="0" fontId="5" fillId="2" borderId="19" xfId="1" applyFont="1" applyFill="1" applyBorder="1" applyAlignment="1">
      <alignment wrapText="1"/>
    </xf>
    <xf numFmtId="0" fontId="5" fillId="2" borderId="68" xfId="1" applyFont="1" applyFill="1" applyBorder="1" applyAlignment="1">
      <alignment wrapText="1"/>
    </xf>
    <xf numFmtId="0" fontId="4" fillId="2" borderId="0" xfId="1" applyFont="1" applyFill="1" applyAlignment="1">
      <alignment horizontal="center"/>
    </xf>
    <xf numFmtId="0" fontId="4" fillId="4" borderId="21" xfId="1" applyFont="1" applyFill="1" applyBorder="1" applyAlignment="1">
      <alignment horizontal="center" vertical="center"/>
    </xf>
    <xf numFmtId="0" fontId="4" fillId="4" borderId="69" xfId="1" applyFont="1" applyFill="1" applyBorder="1" applyAlignment="1">
      <alignment horizontal="center" vertical="center" wrapText="1"/>
    </xf>
    <xf numFmtId="0" fontId="4" fillId="4" borderId="69" xfId="1" quotePrefix="1" applyFont="1" applyFill="1" applyBorder="1" applyAlignment="1">
      <alignment horizontal="center" vertical="center" wrapText="1"/>
    </xf>
    <xf numFmtId="0" fontId="4" fillId="4" borderId="53" xfId="1" quotePrefix="1" applyFont="1" applyFill="1" applyBorder="1" applyAlignment="1">
      <alignment horizontal="center" vertical="center" wrapText="1"/>
    </xf>
    <xf numFmtId="0" fontId="4" fillId="7"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7" fillId="2" borderId="0" xfId="1" applyFont="1" applyFill="1" applyAlignment="1">
      <alignment vertical="center"/>
    </xf>
    <xf numFmtId="0" fontId="4" fillId="2" borderId="0" xfId="1" applyFont="1" applyFill="1" applyBorder="1"/>
    <xf numFmtId="44" fontId="4" fillId="2" borderId="0" xfId="14" applyFont="1" applyFill="1" applyBorder="1" applyAlignment="1">
      <alignment wrapText="1"/>
    </xf>
    <xf numFmtId="0" fontId="8" fillId="2" borderId="0" xfId="1" applyFont="1" applyFill="1" applyBorder="1"/>
    <xf numFmtId="0" fontId="8" fillId="2" borderId="41" xfId="1" applyFont="1" applyFill="1" applyBorder="1"/>
    <xf numFmtId="0" fontId="7" fillId="2" borderId="0" xfId="1" applyFont="1" applyFill="1" applyBorder="1" applyAlignment="1">
      <alignment vertical="center"/>
    </xf>
    <xf numFmtId="0" fontId="5" fillId="2" borderId="0" xfId="1" applyFont="1" applyFill="1" applyBorder="1" applyAlignment="1">
      <alignment wrapText="1"/>
    </xf>
    <xf numFmtId="0" fontId="5" fillId="2" borderId="68" xfId="1" applyFont="1" applyFill="1" applyBorder="1" applyAlignment="1">
      <alignment vertical="center" wrapText="1"/>
    </xf>
    <xf numFmtId="0" fontId="6" fillId="2" borderId="0" xfId="1" applyFont="1" applyFill="1"/>
    <xf numFmtId="0" fontId="26" fillId="2" borderId="0" xfId="1" quotePrefix="1" applyFont="1" applyFill="1" applyAlignment="1">
      <alignment horizontal="left"/>
    </xf>
    <xf numFmtId="0" fontId="3" fillId="2" borderId="0" xfId="1" quotePrefix="1" applyFont="1" applyFill="1" applyAlignment="1">
      <alignment horizontal="left"/>
    </xf>
    <xf numFmtId="0" fontId="2" fillId="0" borderId="0" xfId="1" applyFont="1"/>
    <xf numFmtId="43" fontId="26" fillId="16" borderId="21" xfId="2" applyFont="1" applyFill="1" applyBorder="1"/>
    <xf numFmtId="165" fontId="26" fillId="16" borderId="13" xfId="12" applyNumberFormat="1" applyFont="1" applyFill="1" applyBorder="1"/>
    <xf numFmtId="165" fontId="26" fillId="16" borderId="53" xfId="12" applyNumberFormat="1" applyFont="1" applyFill="1" applyBorder="1"/>
    <xf numFmtId="9" fontId="26" fillId="16" borderId="52" xfId="27" applyFont="1" applyFill="1" applyBorder="1"/>
    <xf numFmtId="165" fontId="26" fillId="16" borderId="1" xfId="12" applyNumberFormat="1" applyFont="1" applyFill="1" applyBorder="1"/>
    <xf numFmtId="43" fontId="26" fillId="16" borderId="13" xfId="2" applyFont="1" applyFill="1" applyBorder="1"/>
    <xf numFmtId="0" fontId="2" fillId="17" borderId="12" xfId="1" applyFont="1" applyFill="1" applyBorder="1"/>
    <xf numFmtId="43" fontId="2" fillId="17" borderId="14" xfId="2" applyFont="1" applyFill="1" applyBorder="1"/>
    <xf numFmtId="165" fontId="2" fillId="17" borderId="72" xfId="12" applyNumberFormat="1" applyFont="1" applyFill="1" applyBorder="1"/>
    <xf numFmtId="165" fontId="2" fillId="17" borderId="11" xfId="12" applyNumberFormat="1" applyFont="1" applyFill="1" applyBorder="1"/>
    <xf numFmtId="43" fontId="2" fillId="0" borderId="12" xfId="2" applyFont="1" applyBorder="1"/>
    <xf numFmtId="165" fontId="2" fillId="0" borderId="14" xfId="12" applyNumberFormat="1" applyFont="1" applyBorder="1"/>
    <xf numFmtId="9" fontId="2" fillId="0" borderId="14" xfId="27" applyFont="1" applyBorder="1"/>
    <xf numFmtId="165" fontId="2" fillId="0" borderId="11" xfId="12" applyNumberFormat="1" applyFont="1" applyBorder="1"/>
    <xf numFmtId="0" fontId="2" fillId="0" borderId="73" xfId="1" applyFont="1" applyBorder="1"/>
    <xf numFmtId="0" fontId="2" fillId="0" borderId="15" xfId="1" applyFont="1" applyBorder="1"/>
    <xf numFmtId="0" fontId="2" fillId="0" borderId="11" xfId="1" applyFont="1" applyBorder="1"/>
    <xf numFmtId="0" fontId="2" fillId="17" borderId="9" xfId="1" applyFont="1" applyFill="1" applyBorder="1"/>
    <xf numFmtId="43" fontId="2" fillId="17" borderId="4" xfId="2" applyFont="1" applyFill="1" applyBorder="1"/>
    <xf numFmtId="165" fontId="2" fillId="17" borderId="10" xfId="12" applyNumberFormat="1" applyFont="1" applyFill="1" applyBorder="1"/>
    <xf numFmtId="165" fontId="2" fillId="17" borderId="8" xfId="12" applyNumberFormat="1" applyFont="1" applyFill="1" applyBorder="1"/>
    <xf numFmtId="43" fontId="2" fillId="0" borderId="9" xfId="2" applyFont="1" applyBorder="1"/>
    <xf numFmtId="165" fontId="2" fillId="0" borderId="4" xfId="12" applyNumberFormat="1" applyFont="1" applyBorder="1"/>
    <xf numFmtId="9" fontId="2" fillId="0" borderId="4" xfId="27" applyFont="1" applyBorder="1"/>
    <xf numFmtId="165" fontId="2" fillId="0" borderId="8" xfId="12" applyNumberFormat="1" applyFont="1" applyBorder="1"/>
    <xf numFmtId="0" fontId="2" fillId="0" borderId="7" xfId="1" applyFont="1" applyBorder="1"/>
    <xf numFmtId="0" fontId="2" fillId="0" borderId="3" xfId="1" applyFont="1" applyBorder="1"/>
    <xf numFmtId="0" fontId="2" fillId="0" borderId="8" xfId="1" applyFont="1" applyBorder="1"/>
    <xf numFmtId="43" fontId="2" fillId="17" borderId="74" xfId="2" applyFont="1" applyFill="1" applyBorder="1"/>
    <xf numFmtId="165" fontId="2" fillId="17" borderId="62" xfId="12" applyNumberFormat="1" applyFont="1" applyFill="1" applyBorder="1"/>
    <xf numFmtId="165" fontId="2" fillId="17" borderId="5" xfId="12" applyNumberFormat="1" applyFont="1" applyFill="1" applyBorder="1"/>
    <xf numFmtId="43" fontId="2" fillId="0" borderId="6" xfId="2" applyFont="1" applyBorder="1"/>
    <xf numFmtId="165" fontId="2" fillId="0" borderId="74" xfId="12" applyNumberFormat="1" applyFont="1" applyBorder="1"/>
    <xf numFmtId="9" fontId="2" fillId="0" borderId="74" xfId="27" applyFont="1" applyBorder="1"/>
    <xf numFmtId="165" fontId="2" fillId="0" borderId="5" xfId="12" applyNumberFormat="1" applyFont="1" applyBorder="1"/>
    <xf numFmtId="0" fontId="2" fillId="0" borderId="75" xfId="1" applyFont="1" applyBorder="1"/>
    <xf numFmtId="0" fontId="2" fillId="0" borderId="5" xfId="1" applyFont="1" applyBorder="1"/>
    <xf numFmtId="0" fontId="2" fillId="0" borderId="12" xfId="1" applyFont="1" applyBorder="1" applyAlignment="1">
      <alignment horizontal="center" vertical="center" wrapText="1"/>
    </xf>
    <xf numFmtId="0" fontId="2" fillId="0" borderId="72" xfId="1" applyFont="1" applyBorder="1" applyAlignment="1">
      <alignment horizontal="center" vertical="center" wrapText="1"/>
    </xf>
    <xf numFmtId="0" fontId="2" fillId="0" borderId="73" xfId="1" applyFont="1" applyBorder="1" applyAlignment="1">
      <alignment horizontal="center" vertical="center" wrapText="1"/>
    </xf>
    <xf numFmtId="0" fontId="4" fillId="0" borderId="24" xfId="1" applyFont="1" applyBorder="1" applyAlignment="1">
      <alignment horizontal="centerContinuous" vertical="center" wrapText="1"/>
    </xf>
    <xf numFmtId="0" fontId="4" fillId="0" borderId="51" xfId="1" applyFont="1" applyBorder="1" applyAlignment="1">
      <alignment horizontal="centerContinuous" vertical="center" wrapText="1"/>
    </xf>
    <xf numFmtId="0" fontId="2" fillId="0" borderId="0" xfId="22"/>
    <xf numFmtId="0" fontId="46" fillId="6" borderId="0" xfId="1" applyFont="1" applyFill="1"/>
    <xf numFmtId="43" fontId="2" fillId="6" borderId="0" xfId="2" applyFont="1" applyFill="1"/>
    <xf numFmtId="0" fontId="8" fillId="6" borderId="0" xfId="1" applyFont="1" applyFill="1"/>
    <xf numFmtId="165" fontId="6" fillId="6" borderId="0" xfId="12" applyNumberFormat="1" applyFont="1" applyFill="1"/>
    <xf numFmtId="9" fontId="6" fillId="6" borderId="0" xfId="27" applyFont="1" applyFill="1"/>
    <xf numFmtId="0" fontId="2" fillId="6" borderId="0" xfId="1" applyFont="1" applyFill="1"/>
    <xf numFmtId="165" fontId="2" fillId="6" borderId="0" xfId="12" applyNumberFormat="1" applyFont="1" applyFill="1"/>
    <xf numFmtId="9" fontId="2" fillId="6" borderId="0" xfId="27" applyFont="1" applyFill="1"/>
    <xf numFmtId="165" fontId="47" fillId="6" borderId="0" xfId="12" applyNumberFormat="1" applyFont="1" applyFill="1"/>
    <xf numFmtId="9" fontId="47" fillId="6" borderId="0" xfId="27" applyFont="1" applyFill="1"/>
    <xf numFmtId="0" fontId="47" fillId="6" borderId="0" xfId="1" applyFont="1" applyFill="1"/>
    <xf numFmtId="0" fontId="2" fillId="6" borderId="0" xfId="1" quotePrefix="1" applyFont="1" applyFill="1"/>
    <xf numFmtId="0" fontId="2" fillId="6" borderId="0" xfId="1" quotePrefix="1" applyFont="1" applyFill="1" applyAlignment="1">
      <alignment horizontal="left" indent="4"/>
    </xf>
    <xf numFmtId="0" fontId="2" fillId="6" borderId="0" xfId="1" quotePrefix="1" applyFont="1" applyFill="1" applyAlignment="1">
      <alignment horizontal="left" indent="2"/>
    </xf>
    <xf numFmtId="0" fontId="48" fillId="6" borderId="0" xfId="1" applyFont="1" applyFill="1"/>
    <xf numFmtId="165" fontId="26" fillId="16" borderId="21" xfId="12" applyNumberFormat="1" applyFont="1" applyFill="1" applyBorder="1"/>
    <xf numFmtId="165" fontId="2" fillId="17" borderId="4" xfId="12" applyNumberFormat="1" applyFont="1" applyFill="1" applyBorder="1"/>
    <xf numFmtId="165" fontId="2" fillId="0" borderId="9" xfId="12" applyNumberFormat="1" applyFont="1" applyBorder="1"/>
    <xf numFmtId="0" fontId="26" fillId="6" borderId="0" xfId="1" applyFont="1" applyFill="1"/>
    <xf numFmtId="0" fontId="26" fillId="6" borderId="0" xfId="1" applyFont="1" applyFill="1" applyBorder="1" applyAlignment="1">
      <alignment horizontal="center" vertical="top"/>
    </xf>
    <xf numFmtId="165" fontId="2" fillId="17" borderId="74" xfId="12" applyNumberFormat="1" applyFont="1" applyFill="1" applyBorder="1"/>
    <xf numFmtId="165" fontId="2" fillId="0" borderId="6" xfId="12" applyNumberFormat="1" applyFont="1" applyBorder="1"/>
    <xf numFmtId="0" fontId="26" fillId="6" borderId="0" xfId="1" applyFont="1" applyFill="1" applyBorder="1" applyAlignment="1">
      <alignment horizontal="center"/>
    </xf>
    <xf numFmtId="0" fontId="2" fillId="6" borderId="0" xfId="1" applyFont="1" applyFill="1" applyAlignment="1">
      <alignment wrapText="1"/>
    </xf>
    <xf numFmtId="0" fontId="5" fillId="6" borderId="0" xfId="1" applyFont="1" applyFill="1" applyAlignment="1">
      <alignment vertical="center" wrapText="1"/>
    </xf>
    <xf numFmtId="41" fontId="26" fillId="16" borderId="21" xfId="12" applyNumberFormat="1" applyFont="1" applyFill="1" applyBorder="1"/>
    <xf numFmtId="41" fontId="2" fillId="17" borderId="4" xfId="12" applyNumberFormat="1" applyFont="1" applyFill="1" applyBorder="1"/>
    <xf numFmtId="41" fontId="2" fillId="17" borderId="74" xfId="12" applyNumberFormat="1" applyFont="1" applyFill="1" applyBorder="1"/>
    <xf numFmtId="0" fontId="26" fillId="6" borderId="0" xfId="1" applyFont="1" applyFill="1" applyBorder="1" applyAlignment="1">
      <alignment horizontal="center" vertical="center"/>
    </xf>
    <xf numFmtId="0" fontId="2" fillId="6" borderId="0" xfId="1" applyFont="1" applyFill="1" applyAlignment="1">
      <alignment vertical="center" wrapText="1"/>
    </xf>
    <xf numFmtId="0" fontId="28" fillId="2" borderId="0" xfId="18" applyFont="1" applyFill="1"/>
    <xf numFmtId="49" fontId="28" fillId="18" borderId="0" xfId="1" quotePrefix="1" applyNumberFormat="1" applyFont="1" applyFill="1" applyBorder="1" applyAlignment="1">
      <alignment horizontal="center"/>
    </xf>
    <xf numFmtId="0" fontId="28" fillId="0" borderId="0" xfId="18" applyFont="1" applyFill="1"/>
    <xf numFmtId="0" fontId="49" fillId="2" borderId="0" xfId="18" applyFont="1" applyFill="1"/>
    <xf numFmtId="165" fontId="50" fillId="2" borderId="13" xfId="28" applyNumberFormat="1" applyFont="1" applyFill="1" applyBorder="1"/>
    <xf numFmtId="0" fontId="50" fillId="2" borderId="1" xfId="18" applyFont="1" applyFill="1" applyBorder="1" applyAlignment="1">
      <alignment wrapText="1"/>
    </xf>
    <xf numFmtId="165" fontId="28" fillId="2" borderId="0" xfId="28" applyNumberFormat="1" applyFont="1" applyFill="1"/>
    <xf numFmtId="165" fontId="28" fillId="18" borderId="57" xfId="28" quotePrefix="1" applyNumberFormat="1" applyFont="1" applyFill="1" applyBorder="1" applyAlignment="1">
      <alignment horizontal="center"/>
    </xf>
    <xf numFmtId="165" fontId="28" fillId="18" borderId="0" xfId="28" quotePrefix="1" applyNumberFormat="1" applyFont="1" applyFill="1" applyBorder="1" applyAlignment="1">
      <alignment horizontal="center"/>
    </xf>
    <xf numFmtId="165" fontId="51" fillId="2" borderId="0" xfId="28" applyNumberFormat="1" applyFont="1" applyFill="1" applyBorder="1" applyAlignment="1">
      <alignment horizontal="center"/>
    </xf>
    <xf numFmtId="0" fontId="50" fillId="2" borderId="0" xfId="18" applyFont="1" applyFill="1"/>
    <xf numFmtId="165" fontId="50" fillId="2" borderId="0" xfId="28" applyNumberFormat="1" applyFont="1" applyFill="1"/>
    <xf numFmtId="37" fontId="26" fillId="2" borderId="0" xfId="1" applyNumberFormat="1" applyFont="1" applyFill="1" applyBorder="1" applyAlignment="1" applyProtection="1">
      <alignment horizontal="left"/>
    </xf>
    <xf numFmtId="165" fontId="28" fillId="0" borderId="0" xfId="28" quotePrefix="1" applyNumberFormat="1" applyFont="1" applyFill="1" applyBorder="1" applyAlignment="1">
      <alignment horizontal="center"/>
    </xf>
    <xf numFmtId="37" fontId="2" fillId="2" borderId="0" xfId="31" applyNumberFormat="1" applyFont="1" applyFill="1"/>
    <xf numFmtId="37" fontId="2" fillId="2" borderId="0" xfId="1" applyNumberFormat="1" applyFont="1" applyFill="1" applyProtection="1"/>
    <xf numFmtId="37" fontId="28" fillId="2" borderId="0" xfId="1" applyNumberFormat="1" applyFont="1" applyFill="1" applyBorder="1"/>
    <xf numFmtId="37" fontId="2" fillId="2" borderId="0" xfId="1" applyNumberFormat="1" applyFont="1" applyFill="1" applyBorder="1" applyAlignment="1" applyProtection="1">
      <alignment horizontal="left"/>
    </xf>
    <xf numFmtId="169" fontId="51" fillId="2" borderId="0" xfId="1" applyNumberFormat="1" applyFont="1" applyFill="1" applyBorder="1" applyAlignment="1">
      <alignment horizontal="center"/>
    </xf>
    <xf numFmtId="37" fontId="51" fillId="2" borderId="0" xfId="1" applyNumberFormat="1" applyFont="1" applyFill="1" applyBorder="1" applyAlignment="1">
      <alignment horizontal="center"/>
    </xf>
    <xf numFmtId="37" fontId="26" fillId="2" borderId="0" xfId="31" applyNumberFormat="1" applyFont="1" applyFill="1"/>
    <xf numFmtId="37" fontId="26" fillId="2" borderId="0" xfId="1" applyNumberFormat="1" applyFont="1" applyFill="1" applyProtection="1"/>
    <xf numFmtId="37" fontId="50" fillId="2" borderId="0" xfId="1" applyNumberFormat="1" applyFont="1" applyFill="1" applyBorder="1"/>
    <xf numFmtId="169" fontId="50" fillId="2" borderId="0" xfId="1" applyNumberFormat="1" applyFont="1" applyFill="1" applyBorder="1"/>
    <xf numFmtId="37" fontId="50" fillId="2" borderId="0" xfId="1" quotePrefix="1" applyNumberFormat="1" applyFont="1" applyFill="1" applyBorder="1" applyAlignment="1">
      <alignment horizontal="center"/>
    </xf>
    <xf numFmtId="2" fontId="2" fillId="2" borderId="0" xfId="31" applyNumberFormat="1" applyFont="1" applyFill="1"/>
    <xf numFmtId="37" fontId="2" fillId="2" borderId="0" xfId="1" applyNumberFormat="1" applyFont="1" applyFill="1"/>
    <xf numFmtId="37" fontId="0" fillId="0" borderId="0" xfId="1" applyNumberFormat="1" applyFont="1" applyFill="1"/>
    <xf numFmtId="37" fontId="52" fillId="2" borderId="0" xfId="31" applyNumberFormat="1" applyFont="1" applyFill="1"/>
    <xf numFmtId="37" fontId="2" fillId="2" borderId="0" xfId="32" applyNumberFormat="1" applyFont="1" applyFill="1"/>
    <xf numFmtId="2" fontId="2" fillId="2" borderId="0" xfId="32" applyNumberFormat="1" applyFont="1" applyFill="1"/>
    <xf numFmtId="170" fontId="2" fillId="2" borderId="0" xfId="18" applyNumberFormat="1" applyFont="1" applyFill="1" applyBorder="1"/>
    <xf numFmtId="170" fontId="2" fillId="18" borderId="0" xfId="18" applyNumberFormat="1" applyFont="1" applyFill="1" applyBorder="1"/>
    <xf numFmtId="37" fontId="2" fillId="2" borderId="0" xfId="32" applyNumberFormat="1" applyFont="1" applyFill="1" applyAlignment="1" applyProtection="1">
      <alignment horizontal="left"/>
    </xf>
    <xf numFmtId="2" fontId="2" fillId="2" borderId="0" xfId="32" applyNumberFormat="1" applyFont="1" applyFill="1" applyAlignment="1" applyProtection="1">
      <alignment horizontal="left"/>
    </xf>
    <xf numFmtId="37" fontId="53" fillId="2" borderId="0" xfId="32" applyNumberFormat="1" applyFont="1" applyFill="1" applyAlignment="1" applyProtection="1"/>
    <xf numFmtId="37" fontId="28" fillId="2" borderId="0" xfId="32" applyNumberFormat="1" applyFont="1" applyFill="1" applyBorder="1"/>
    <xf numFmtId="9" fontId="2" fillId="2" borderId="0" xfId="24" applyFont="1" applyFill="1" applyBorder="1" applyProtection="1"/>
    <xf numFmtId="0" fontId="2" fillId="2" borderId="0" xfId="24" applyNumberFormat="1" applyFont="1" applyFill="1" applyBorder="1" applyProtection="1"/>
    <xf numFmtId="9" fontId="2" fillId="2" borderId="0" xfId="24" applyNumberFormat="1" applyFont="1" applyFill="1" applyBorder="1" applyProtection="1"/>
    <xf numFmtId="37" fontId="26" fillId="2" borderId="0" xfId="1" applyNumberFormat="1" applyFont="1" applyFill="1" applyAlignment="1" applyProtection="1">
      <alignment horizontal="right"/>
    </xf>
    <xf numFmtId="165" fontId="2" fillId="2" borderId="0" xfId="9" applyNumberFormat="1" applyFont="1" applyFill="1" applyBorder="1" applyProtection="1"/>
    <xf numFmtId="165" fontId="2" fillId="2" borderId="81" xfId="9" applyNumberFormat="1" applyFont="1" applyFill="1" applyBorder="1" applyProtection="1"/>
    <xf numFmtId="2" fontId="2" fillId="2" borderId="0" xfId="1" applyNumberFormat="1" applyFont="1" applyFill="1"/>
    <xf numFmtId="37" fontId="26" fillId="2" borderId="0" xfId="1" applyNumberFormat="1" applyFont="1" applyFill="1" applyAlignment="1" applyProtection="1">
      <alignment horizontal="left"/>
    </xf>
    <xf numFmtId="37" fontId="28" fillId="2" borderId="23" xfId="1" applyNumberFormat="1" applyFont="1" applyFill="1" applyBorder="1"/>
    <xf numFmtId="37" fontId="2" fillId="2" borderId="0" xfId="1" applyNumberFormat="1" applyFill="1" applyBorder="1"/>
    <xf numFmtId="37" fontId="2" fillId="0" borderId="57" xfId="1" applyNumberFormat="1" applyFill="1" applyBorder="1"/>
    <xf numFmtId="37" fontId="2" fillId="0" borderId="0" xfId="1" applyNumberFormat="1" applyFill="1"/>
    <xf numFmtId="37" fontId="2" fillId="2" borderId="0" xfId="1" applyNumberFormat="1" applyFill="1"/>
    <xf numFmtId="2" fontId="2" fillId="2" borderId="0" xfId="1" applyNumberFormat="1" applyFill="1"/>
    <xf numFmtId="37" fontId="26" fillId="2" borderId="0" xfId="1" applyNumberFormat="1" applyFont="1" applyFill="1" applyAlignment="1"/>
    <xf numFmtId="37" fontId="2" fillId="2" borderId="0" xfId="1" applyNumberFormat="1" applyFont="1" applyFill="1" applyBorder="1"/>
    <xf numFmtId="37" fontId="2" fillId="2" borderId="23" xfId="1" applyNumberFormat="1" applyFont="1" applyFill="1" applyBorder="1"/>
    <xf numFmtId="37" fontId="2" fillId="18" borderId="23" xfId="1" applyNumberFormat="1" applyFont="1" applyFill="1" applyBorder="1"/>
    <xf numFmtId="37" fontId="2" fillId="18" borderId="0" xfId="1" applyNumberFormat="1" applyFont="1" applyFill="1"/>
    <xf numFmtId="2" fontId="2" fillId="18" borderId="0" xfId="1" applyNumberFormat="1" applyFont="1" applyFill="1"/>
    <xf numFmtId="37" fontId="2" fillId="18" borderId="0" xfId="1" applyNumberFormat="1" applyFill="1"/>
    <xf numFmtId="37" fontId="2" fillId="18" borderId="0" xfId="1" applyNumberFormat="1" applyFont="1" applyFill="1" applyAlignment="1">
      <alignment horizontal="right"/>
    </xf>
    <xf numFmtId="37" fontId="2" fillId="18" borderId="57" xfId="1" applyNumberFormat="1" applyFill="1" applyBorder="1"/>
    <xf numFmtId="37" fontId="2" fillId="18" borderId="0" xfId="1" applyNumberFormat="1" applyFill="1" applyBorder="1"/>
    <xf numFmtId="2" fontId="2" fillId="18" borderId="0" xfId="1" applyNumberFormat="1" applyFill="1"/>
    <xf numFmtId="37" fontId="54" fillId="18" borderId="0" xfId="1" applyNumberFormat="1" applyFont="1" applyFill="1"/>
    <xf numFmtId="37" fontId="28" fillId="2" borderId="0" xfId="1" applyNumberFormat="1" applyFont="1" applyFill="1" applyBorder="1" applyProtection="1"/>
    <xf numFmtId="37" fontId="28" fillId="18" borderId="23" xfId="1" applyNumberFormat="1" applyFont="1" applyFill="1" applyBorder="1" applyProtection="1"/>
    <xf numFmtId="37" fontId="2" fillId="18" borderId="0" xfId="1" applyNumberFormat="1" applyFont="1" applyFill="1" applyAlignment="1" applyProtection="1">
      <alignment horizontal="right"/>
    </xf>
    <xf numFmtId="37" fontId="2" fillId="18" borderId="0" xfId="1" applyNumberFormat="1" applyFont="1" applyFill="1" applyProtection="1"/>
    <xf numFmtId="37" fontId="2" fillId="18" borderId="0" xfId="1" applyNumberFormat="1" applyFont="1" applyFill="1" applyAlignment="1" applyProtection="1">
      <alignment horizontal="left"/>
    </xf>
    <xf numFmtId="2" fontId="2" fillId="18" borderId="0" xfId="1" applyNumberFormat="1" applyFont="1" applyFill="1" applyAlignment="1" applyProtection="1">
      <alignment horizontal="left"/>
    </xf>
    <xf numFmtId="37" fontId="28" fillId="18" borderId="23" xfId="1" applyNumberFormat="1" applyFont="1" applyFill="1" applyBorder="1" applyAlignment="1" applyProtection="1"/>
    <xf numFmtId="37" fontId="2" fillId="2" borderId="0" xfId="32" applyNumberFormat="1" applyFill="1"/>
    <xf numFmtId="2" fontId="2" fillId="2" borderId="0" xfId="1" applyNumberFormat="1" applyFont="1" applyFill="1" applyAlignment="1" applyProtection="1">
      <alignment horizontal="left"/>
    </xf>
    <xf numFmtId="37" fontId="2" fillId="2" borderId="0" xfId="1" applyNumberFormat="1" applyFont="1" applyFill="1" applyAlignment="1" applyProtection="1">
      <alignment horizontal="left"/>
    </xf>
    <xf numFmtId="37" fontId="28" fillId="2" borderId="7" xfId="1" applyNumberFormat="1" applyFont="1" applyFill="1" applyBorder="1" applyProtection="1"/>
    <xf numFmtId="37" fontId="28" fillId="2" borderId="10" xfId="1" applyNumberFormat="1" applyFont="1" applyFill="1" applyBorder="1" applyProtection="1"/>
    <xf numFmtId="37" fontId="2" fillId="2" borderId="57" xfId="32" applyNumberFormat="1" applyFont="1" applyFill="1" applyBorder="1"/>
    <xf numFmtId="37" fontId="2" fillId="2" borderId="17" xfId="32" applyNumberFormat="1" applyFont="1" applyFill="1" applyBorder="1"/>
    <xf numFmtId="37" fontId="2" fillId="2" borderId="18" xfId="32" applyNumberFormat="1" applyFont="1" applyFill="1" applyBorder="1"/>
    <xf numFmtId="37" fontId="28" fillId="2" borderId="3" xfId="1" applyNumberFormat="1" applyFont="1" applyFill="1" applyBorder="1" applyProtection="1"/>
    <xf numFmtId="37" fontId="2" fillId="2" borderId="82" xfId="1" applyNumberFormat="1" applyFont="1" applyFill="1" applyBorder="1"/>
    <xf numFmtId="37" fontId="2" fillId="2" borderId="17" xfId="1" applyNumberFormat="1" applyFont="1" applyFill="1" applyBorder="1" applyAlignment="1" applyProtection="1">
      <alignment horizontal="left"/>
    </xf>
    <xf numFmtId="169" fontId="28" fillId="2" borderId="3" xfId="1" applyNumberFormat="1" applyFont="1" applyFill="1" applyBorder="1" applyProtection="1"/>
    <xf numFmtId="37" fontId="2" fillId="2" borderId="18" xfId="1" applyNumberFormat="1" applyFill="1" applyBorder="1"/>
    <xf numFmtId="37" fontId="2" fillId="2" borderId="18" xfId="1" applyNumberFormat="1" applyFont="1" applyFill="1" applyBorder="1" applyAlignment="1">
      <alignment horizontal="right"/>
    </xf>
    <xf numFmtId="37" fontId="2" fillId="2" borderId="35" xfId="32" applyNumberFormat="1" applyFont="1" applyFill="1" applyBorder="1" applyAlignment="1">
      <alignment horizontal="right"/>
    </xf>
    <xf numFmtId="37" fontId="2" fillId="2" borderId="0" xfId="32" applyNumberFormat="1" applyFont="1" applyFill="1" applyBorder="1"/>
    <xf numFmtId="10" fontId="2" fillId="2" borderId="57" xfId="32" applyNumberFormat="1" applyFont="1" applyFill="1" applyBorder="1"/>
    <xf numFmtId="37" fontId="2" fillId="2" borderId="57" xfId="32" applyNumberFormat="1" applyFont="1" applyFill="1" applyBorder="1" applyAlignment="1">
      <alignment horizontal="right"/>
    </xf>
    <xf numFmtId="37" fontId="2" fillId="18" borderId="35" xfId="1" applyNumberFormat="1" applyFont="1" applyFill="1" applyBorder="1" applyProtection="1"/>
    <xf numFmtId="37" fontId="2" fillId="18" borderId="0" xfId="1" applyNumberFormat="1" applyFont="1" applyFill="1" applyBorder="1" applyProtection="1"/>
    <xf numFmtId="37" fontId="28" fillId="18" borderId="0" xfId="1" applyNumberFormat="1" applyFont="1" applyFill="1" applyBorder="1"/>
    <xf numFmtId="169" fontId="28" fillId="18" borderId="0" xfId="1" applyNumberFormat="1" applyFont="1" applyFill="1" applyBorder="1"/>
    <xf numFmtId="37" fontId="28" fillId="18" borderId="0" xfId="1" quotePrefix="1" applyNumberFormat="1" applyFont="1" applyFill="1" applyBorder="1" applyAlignment="1">
      <alignment horizontal="center"/>
    </xf>
    <xf numFmtId="37" fontId="2" fillId="18" borderId="26" xfId="1" applyNumberFormat="1" applyFont="1" applyFill="1" applyBorder="1" applyAlignment="1" applyProtection="1">
      <alignment horizontal="left"/>
    </xf>
    <xf numFmtId="10" fontId="2" fillId="2" borderId="0" xfId="32" applyNumberFormat="1" applyFont="1" applyFill="1" applyBorder="1"/>
    <xf numFmtId="37" fontId="2" fillId="2" borderId="0" xfId="32" applyNumberFormat="1" applyFont="1" applyFill="1" applyBorder="1" applyAlignment="1">
      <alignment horizontal="right"/>
    </xf>
    <xf numFmtId="37" fontId="2" fillId="2" borderId="26" xfId="32" applyNumberFormat="1" applyFont="1" applyFill="1" applyBorder="1"/>
    <xf numFmtId="37" fontId="2" fillId="2" borderId="25" xfId="32" applyNumberFormat="1" applyFont="1" applyFill="1" applyBorder="1" applyAlignment="1">
      <alignment horizontal="center"/>
    </xf>
    <xf numFmtId="0" fontId="2" fillId="2" borderId="35" xfId="32" applyNumberFormat="1" applyFont="1" applyFill="1" applyBorder="1" applyAlignment="1">
      <alignment horizontal="right"/>
    </xf>
    <xf numFmtId="37" fontId="2" fillId="2" borderId="35" xfId="32" applyNumberFormat="1" applyFont="1" applyFill="1" applyBorder="1"/>
    <xf numFmtId="37" fontId="2" fillId="2" borderId="25" xfId="32" applyNumberFormat="1" applyFont="1" applyFill="1" applyBorder="1"/>
    <xf numFmtId="37" fontId="2" fillId="2" borderId="35" xfId="1" applyNumberFormat="1" applyFont="1" applyFill="1" applyBorder="1" applyProtection="1"/>
    <xf numFmtId="37" fontId="2" fillId="2" borderId="0" xfId="1" applyNumberFormat="1" applyFont="1" applyFill="1" applyBorder="1" applyProtection="1"/>
    <xf numFmtId="37" fontId="28" fillId="0" borderId="0" xfId="1" applyNumberFormat="1" applyFont="1" applyFill="1" applyBorder="1"/>
    <xf numFmtId="169" fontId="28" fillId="0" borderId="0" xfId="1" applyNumberFormat="1" applyFont="1" applyFill="1" applyBorder="1"/>
    <xf numFmtId="0" fontId="28" fillId="0" borderId="0" xfId="1" quotePrefix="1" applyNumberFormat="1" applyFont="1" applyFill="1" applyBorder="1" applyAlignment="1">
      <alignment horizontal="center"/>
    </xf>
    <xf numFmtId="37" fontId="2" fillId="0" borderId="26" xfId="1" applyNumberFormat="1" applyFont="1" applyFill="1" applyBorder="1" applyAlignment="1" applyProtection="1">
      <alignment horizontal="left"/>
    </xf>
    <xf numFmtId="37" fontId="2" fillId="2" borderId="26" xfId="32" applyNumberFormat="1" applyFont="1" applyFill="1" applyBorder="1" applyAlignment="1">
      <alignment horizontal="center"/>
    </xf>
    <xf numFmtId="0" fontId="2" fillId="2" borderId="26" xfId="1" applyNumberFormat="1" applyFont="1" applyFill="1" applyBorder="1" applyAlignment="1" applyProtection="1">
      <alignment horizontal="center"/>
    </xf>
    <xf numFmtId="171" fontId="28" fillId="18" borderId="0" xfId="1" applyNumberFormat="1" applyFont="1" applyFill="1" applyBorder="1"/>
    <xf numFmtId="37" fontId="57" fillId="2" borderId="0" xfId="32" applyNumberFormat="1" applyFont="1" applyFill="1"/>
    <xf numFmtId="49" fontId="28" fillId="18" borderId="0" xfId="1" applyNumberFormat="1" applyFont="1" applyFill="1" applyBorder="1" applyAlignment="1">
      <alignment horizontal="center"/>
    </xf>
    <xf numFmtId="0" fontId="2" fillId="2" borderId="28" xfId="9" applyNumberFormat="1" applyFont="1" applyFill="1" applyBorder="1" applyAlignment="1" applyProtection="1">
      <alignment horizontal="center"/>
    </xf>
    <xf numFmtId="165" fontId="2" fillId="2" borderId="0" xfId="9" applyNumberFormat="1" applyFont="1" applyFill="1" applyProtection="1"/>
    <xf numFmtId="165" fontId="2" fillId="2" borderId="37" xfId="9" applyNumberFormat="1" applyFont="1" applyFill="1" applyBorder="1" applyProtection="1"/>
    <xf numFmtId="165" fontId="2" fillId="2" borderId="23" xfId="9" applyNumberFormat="1" applyFont="1" applyFill="1" applyBorder="1" applyProtection="1"/>
    <xf numFmtId="171" fontId="28" fillId="18" borderId="23" xfId="1" applyNumberFormat="1" applyFont="1" applyFill="1" applyBorder="1"/>
    <xf numFmtId="37" fontId="2" fillId="2" borderId="7" xfId="32" applyNumberFormat="1" applyFont="1" applyFill="1" applyBorder="1" applyAlignment="1">
      <alignment horizontal="center" wrapText="1"/>
    </xf>
    <xf numFmtId="37" fontId="2" fillId="2" borderId="10" xfId="32" applyNumberFormat="1" applyFont="1" applyFill="1" applyBorder="1" applyAlignment="1">
      <alignment horizontal="center" wrapText="1"/>
    </xf>
    <xf numFmtId="37" fontId="2" fillId="2" borderId="4" xfId="32" applyNumberFormat="1" applyFont="1" applyFill="1" applyBorder="1" applyAlignment="1">
      <alignment horizontal="center" wrapText="1"/>
    </xf>
    <xf numFmtId="37" fontId="28" fillId="2" borderId="4" xfId="1" applyNumberFormat="1" applyFont="1" applyFill="1" applyBorder="1" applyAlignment="1" applyProtection="1">
      <alignment horizontal="center" wrapText="1"/>
    </xf>
    <xf numFmtId="37" fontId="28" fillId="2" borderId="35" xfId="1" applyNumberFormat="1" applyFont="1" applyFill="1" applyBorder="1" applyAlignment="1" applyProtection="1">
      <alignment horizontal="center"/>
    </xf>
    <xf numFmtId="37" fontId="28" fillId="2" borderId="7" xfId="1" applyNumberFormat="1" applyFont="1" applyFill="1" applyBorder="1" applyAlignment="1" applyProtection="1">
      <alignment horizontal="center"/>
    </xf>
    <xf numFmtId="37" fontId="28" fillId="2" borderId="3" xfId="1" applyNumberFormat="1" applyFont="1" applyFill="1" applyBorder="1" applyAlignment="1" applyProtection="1">
      <alignment horizontal="center"/>
    </xf>
    <xf numFmtId="37" fontId="28" fillId="18" borderId="3" xfId="1" applyNumberFormat="1" applyFont="1" applyFill="1" applyBorder="1" applyAlignment="1" applyProtection="1">
      <alignment horizontal="centerContinuous"/>
    </xf>
    <xf numFmtId="2" fontId="28" fillId="18" borderId="3" xfId="1" applyNumberFormat="1" applyFont="1" applyFill="1" applyBorder="1" applyAlignment="1" applyProtection="1">
      <alignment horizontal="center" wrapText="1"/>
    </xf>
    <xf numFmtId="37" fontId="28" fillId="18" borderId="3" xfId="1" applyNumberFormat="1" applyFont="1" applyFill="1" applyBorder="1" applyAlignment="1" applyProtection="1">
      <alignment horizontal="center"/>
    </xf>
    <xf numFmtId="37" fontId="28" fillId="18" borderId="3" xfId="1" applyNumberFormat="1" applyFont="1" applyFill="1" applyBorder="1" applyAlignment="1" applyProtection="1">
      <alignment horizontal="left"/>
    </xf>
    <xf numFmtId="37" fontId="26" fillId="2" borderId="0" xfId="32" applyNumberFormat="1" applyFont="1" applyFill="1"/>
    <xf numFmtId="37" fontId="26" fillId="2" borderId="57" xfId="1" applyNumberFormat="1" applyFont="1" applyFill="1" applyBorder="1" applyAlignment="1" applyProtection="1">
      <alignment horizontal="left"/>
    </xf>
    <xf numFmtId="10" fontId="2" fillId="2" borderId="0" xfId="24" applyNumberFormat="1" applyFont="1" applyFill="1"/>
    <xf numFmtId="37" fontId="26" fillId="2" borderId="0" xfId="32" applyNumberFormat="1" applyFont="1" applyFill="1" applyAlignment="1"/>
    <xf numFmtId="37" fontId="7" fillId="2" borderId="0" xfId="32" applyNumberFormat="1" applyFont="1" applyFill="1"/>
    <xf numFmtId="37" fontId="3" fillId="2" borderId="0" xfId="32" applyNumberFormat="1" applyFont="1" applyFill="1"/>
    <xf numFmtId="2" fontId="3" fillId="2" borderId="0" xfId="32" applyNumberFormat="1" applyFont="1" applyFill="1"/>
    <xf numFmtId="37" fontId="3" fillId="2" borderId="0" xfId="1" applyNumberFormat="1" applyFont="1" applyFill="1"/>
    <xf numFmtId="37" fontId="52" fillId="2" borderId="0" xfId="1" applyNumberFormat="1" applyFont="1" applyFill="1"/>
    <xf numFmtId="0" fontId="25" fillId="2" borderId="0" xfId="17" applyFont="1" applyFill="1"/>
    <xf numFmtId="0" fontId="25" fillId="2" borderId="0" xfId="17" applyFont="1" applyFill="1" applyBorder="1"/>
    <xf numFmtId="37" fontId="2" fillId="2" borderId="3" xfId="31" applyNumberFormat="1" applyFont="1" applyFill="1" applyBorder="1"/>
    <xf numFmtId="10" fontId="2" fillId="2" borderId="3" xfId="31" applyNumberFormat="1" applyFont="1" applyFill="1" applyBorder="1" applyAlignment="1">
      <alignment horizontal="center"/>
    </xf>
    <xf numFmtId="49" fontId="2" fillId="2" borderId="17" xfId="31" applyNumberFormat="1" applyFont="1" applyFill="1" applyBorder="1" applyAlignment="1">
      <alignment horizontal="center"/>
    </xf>
    <xf numFmtId="37" fontId="2" fillId="2" borderId="0" xfId="31" applyNumberFormat="1" applyFont="1" applyFill="1" applyBorder="1" applyAlignment="1">
      <alignment horizontal="right"/>
    </xf>
    <xf numFmtId="37" fontId="2" fillId="2" borderId="7" xfId="31" applyNumberFormat="1" applyFont="1" applyFill="1" applyBorder="1"/>
    <xf numFmtId="37" fontId="2" fillId="2" borderId="10" xfId="31" applyNumberFormat="1" applyFont="1" applyFill="1" applyBorder="1"/>
    <xf numFmtId="171" fontId="2" fillId="18" borderId="10" xfId="31" applyNumberFormat="1" applyFont="1" applyFill="1" applyBorder="1" applyAlignment="1">
      <alignment horizontal="center"/>
    </xf>
    <xf numFmtId="172" fontId="28" fillId="18" borderId="4" xfId="1" applyNumberFormat="1" applyFont="1" applyFill="1" applyBorder="1" applyAlignment="1">
      <alignment horizontal="center"/>
    </xf>
    <xf numFmtId="37" fontId="28" fillId="18" borderId="10" xfId="1" applyNumberFormat="1" applyFont="1" applyFill="1" applyBorder="1" applyAlignment="1">
      <alignment horizontal="center" wrapText="1"/>
    </xf>
    <xf numFmtId="37" fontId="28" fillId="18" borderId="4" xfId="1" applyNumberFormat="1" applyFont="1" applyFill="1" applyBorder="1"/>
    <xf numFmtId="0" fontId="61" fillId="2" borderId="0" xfId="17" applyFont="1" applyFill="1"/>
    <xf numFmtId="170" fontId="2" fillId="2" borderId="0" xfId="17" applyNumberFormat="1" applyFont="1" applyFill="1" applyBorder="1"/>
    <xf numFmtId="37" fontId="2" fillId="2" borderId="0" xfId="31" applyNumberFormat="1" applyFont="1" applyFill="1" applyBorder="1"/>
    <xf numFmtId="37" fontId="26" fillId="2" borderId="0" xfId="31" applyNumberFormat="1" applyFont="1" applyFill="1" applyBorder="1" applyAlignment="1">
      <alignment horizontal="left" vertical="center"/>
    </xf>
    <xf numFmtId="37" fontId="2" fillId="18" borderId="3" xfId="31" applyNumberFormat="1" applyFont="1" applyFill="1" applyBorder="1"/>
    <xf numFmtId="0" fontId="27" fillId="2" borderId="0" xfId="17" applyFont="1" applyFill="1"/>
    <xf numFmtId="37" fontId="48" fillId="2" borderId="0" xfId="1" applyNumberFormat="1" applyFont="1" applyFill="1"/>
    <xf numFmtId="37" fontId="9" fillId="2" borderId="0" xfId="1" applyNumberFormat="1" applyFont="1" applyFill="1"/>
    <xf numFmtId="37" fontId="7" fillId="2" borderId="0" xfId="1" applyNumberFormat="1" applyFont="1" applyFill="1"/>
    <xf numFmtId="37" fontId="2" fillId="2" borderId="0" xfId="31" quotePrefix="1" applyNumberFormat="1" applyFont="1" applyFill="1"/>
    <xf numFmtId="37" fontId="2" fillId="2" borderId="0" xfId="31" applyNumberFormat="1" applyFont="1" applyFill="1" applyAlignment="1" applyProtection="1">
      <alignment horizontal="left"/>
    </xf>
    <xf numFmtId="2" fontId="2" fillId="2" borderId="0" xfId="31" applyNumberFormat="1" applyFont="1" applyFill="1" applyAlignment="1" applyProtection="1">
      <alignment horizontal="left"/>
    </xf>
    <xf numFmtId="37" fontId="53" fillId="2" borderId="0" xfId="31" applyNumberFormat="1" applyFont="1" applyFill="1" applyAlignment="1" applyProtection="1"/>
    <xf numFmtId="37" fontId="28" fillId="2" borderId="0" xfId="31" applyNumberFormat="1" applyFont="1" applyFill="1" applyBorder="1"/>
    <xf numFmtId="37" fontId="2" fillId="2" borderId="57" xfId="33" applyNumberFormat="1" applyFill="1" applyBorder="1"/>
    <xf numFmtId="37" fontId="2" fillId="2" borderId="0" xfId="33" applyNumberFormat="1" applyFill="1"/>
    <xf numFmtId="37" fontId="2" fillId="2" borderId="0" xfId="1" applyNumberFormat="1" applyFont="1" applyFill="1" applyAlignment="1">
      <alignment horizontal="right"/>
    </xf>
    <xf numFmtId="37" fontId="54" fillId="2" borderId="0" xfId="1" applyNumberFormat="1" applyFont="1" applyFill="1"/>
    <xf numFmtId="37" fontId="28" fillId="2" borderId="23" xfId="1" applyNumberFormat="1" applyFont="1" applyFill="1" applyBorder="1" applyProtection="1"/>
    <xf numFmtId="37" fontId="2" fillId="2" borderId="0" xfId="1" applyNumberFormat="1" applyFont="1" applyFill="1" applyAlignment="1" applyProtection="1">
      <alignment horizontal="right"/>
    </xf>
    <xf numFmtId="37" fontId="2" fillId="2" borderId="0" xfId="31" applyNumberFormat="1" applyFill="1"/>
    <xf numFmtId="37" fontId="2" fillId="2" borderId="57" xfId="31" applyNumberFormat="1" applyFont="1" applyFill="1" applyBorder="1"/>
    <xf numFmtId="37" fontId="2" fillId="2" borderId="17" xfId="31" applyNumberFormat="1" applyFont="1" applyFill="1" applyBorder="1"/>
    <xf numFmtId="37" fontId="2" fillId="2" borderId="18" xfId="31" applyNumberFormat="1" applyFont="1" applyFill="1" applyBorder="1"/>
    <xf numFmtId="169" fontId="28" fillId="2" borderId="23" xfId="1" applyNumberFormat="1" applyFont="1" applyFill="1" applyBorder="1" applyProtection="1"/>
    <xf numFmtId="37" fontId="2" fillId="2" borderId="35" xfId="31" applyNumberFormat="1" applyFont="1" applyFill="1" applyBorder="1" applyAlignment="1">
      <alignment horizontal="center"/>
    </xf>
    <xf numFmtId="10" fontId="2" fillId="2" borderId="0" xfId="31" applyNumberFormat="1" applyFont="1" applyFill="1" applyBorder="1"/>
    <xf numFmtId="37" fontId="2" fillId="2" borderId="0" xfId="31" applyNumberFormat="1" applyFont="1" applyFill="1" applyBorder="1" applyAlignment="1">
      <alignment horizontal="center"/>
    </xf>
    <xf numFmtId="37" fontId="2" fillId="2" borderId="26" xfId="31" applyNumberFormat="1" applyFont="1" applyFill="1" applyBorder="1"/>
    <xf numFmtId="37" fontId="2" fillId="2" borderId="25" xfId="31" applyNumberFormat="1" applyFont="1" applyFill="1" applyBorder="1" applyAlignment="1">
      <alignment horizontal="center"/>
    </xf>
    <xf numFmtId="37" fontId="2" fillId="18" borderId="0" xfId="1" applyNumberFormat="1" applyFont="1" applyFill="1" applyBorder="1" applyAlignment="1" applyProtection="1">
      <alignment horizontal="left"/>
    </xf>
    <xf numFmtId="0" fontId="2" fillId="2" borderId="35" xfId="31" applyNumberFormat="1" applyFont="1" applyFill="1" applyBorder="1" applyAlignment="1">
      <alignment horizontal="center"/>
    </xf>
    <xf numFmtId="37" fontId="2" fillId="2" borderId="35" xfId="31" applyNumberFormat="1" applyFont="1" applyFill="1" applyBorder="1"/>
    <xf numFmtId="37" fontId="2" fillId="2" borderId="25" xfId="31" applyNumberFormat="1" applyFont="1" applyFill="1" applyBorder="1"/>
    <xf numFmtId="169" fontId="28" fillId="2" borderId="0" xfId="1" applyNumberFormat="1" applyFont="1" applyFill="1" applyBorder="1"/>
    <xf numFmtId="0" fontId="28" fillId="2" borderId="0" xfId="1" quotePrefix="1" applyNumberFormat="1" applyFont="1" applyFill="1" applyBorder="1" applyAlignment="1">
      <alignment horizontal="center"/>
    </xf>
    <xf numFmtId="37" fontId="57" fillId="2" borderId="0" xfId="31" applyNumberFormat="1" applyFont="1" applyFill="1"/>
    <xf numFmtId="37" fontId="2" fillId="2" borderId="26" xfId="1" applyNumberFormat="1" applyFont="1" applyFill="1" applyBorder="1" applyAlignment="1" applyProtection="1">
      <alignment horizontal="center"/>
    </xf>
    <xf numFmtId="172" fontId="28" fillId="18" borderId="0" xfId="1" applyNumberFormat="1" applyFont="1" applyFill="1" applyBorder="1"/>
    <xf numFmtId="0" fontId="2" fillId="18" borderId="0" xfId="1" applyNumberFormat="1" applyFont="1" applyFill="1" applyProtection="1"/>
    <xf numFmtId="171" fontId="2" fillId="18" borderId="0" xfId="1" applyNumberFormat="1" applyFont="1" applyFill="1" applyProtection="1"/>
    <xf numFmtId="172" fontId="2" fillId="18" borderId="0" xfId="1" applyNumberFormat="1" applyFont="1" applyFill="1" applyProtection="1"/>
    <xf numFmtId="37" fontId="2" fillId="2" borderId="28" xfId="9" applyNumberFormat="1" applyFont="1" applyFill="1" applyBorder="1" applyAlignment="1" applyProtection="1">
      <alignment horizontal="center"/>
    </xf>
    <xf numFmtId="165" fontId="2" fillId="18" borderId="0" xfId="9" applyNumberFormat="1" applyFont="1" applyFill="1" applyProtection="1"/>
    <xf numFmtId="37" fontId="28" fillId="18" borderId="0" xfId="7" applyNumberFormat="1" applyFont="1" applyFill="1"/>
    <xf numFmtId="171" fontId="28" fillId="18" borderId="0" xfId="7" applyNumberFormat="1" applyFont="1" applyFill="1"/>
    <xf numFmtId="172" fontId="28" fillId="18" borderId="0" xfId="7" applyNumberFormat="1" applyFont="1" applyFill="1"/>
    <xf numFmtId="0" fontId="2" fillId="18" borderId="0" xfId="9" applyNumberFormat="1" applyFont="1" applyFill="1" applyProtection="1"/>
    <xf numFmtId="37" fontId="2" fillId="2" borderId="7" xfId="31" applyNumberFormat="1" applyFont="1" applyFill="1" applyBorder="1" applyAlignment="1">
      <alignment horizontal="center" wrapText="1"/>
    </xf>
    <xf numFmtId="37" fontId="2" fillId="2" borderId="10" xfId="31" applyNumberFormat="1" applyFont="1" applyFill="1" applyBorder="1" applyAlignment="1">
      <alignment horizontal="center" wrapText="1"/>
    </xf>
    <xf numFmtId="37" fontId="2" fillId="2" borderId="4" xfId="31" applyNumberFormat="1" applyFont="1" applyFill="1" applyBorder="1" applyAlignment="1">
      <alignment horizontal="center" wrapText="1"/>
    </xf>
    <xf numFmtId="37" fontId="28" fillId="2" borderId="3" xfId="1" applyNumberFormat="1" applyFont="1" applyFill="1" applyBorder="1" applyAlignment="1" applyProtection="1">
      <alignment horizontal="centerContinuous"/>
    </xf>
    <xf numFmtId="2" fontId="28" fillId="2" borderId="3" xfId="1" applyNumberFormat="1" applyFont="1" applyFill="1" applyBorder="1" applyAlignment="1" applyProtection="1">
      <alignment horizontal="center" wrapText="1"/>
    </xf>
    <xf numFmtId="37" fontId="28" fillId="2" borderId="3" xfId="1" applyNumberFormat="1" applyFont="1" applyFill="1" applyBorder="1" applyAlignment="1" applyProtection="1">
      <alignment horizontal="left"/>
    </xf>
    <xf numFmtId="37" fontId="26" fillId="2" borderId="0" xfId="31" applyNumberFormat="1" applyFont="1" applyFill="1" applyAlignment="1"/>
    <xf numFmtId="37" fontId="7" fillId="2" borderId="0" xfId="31" applyNumberFormat="1" applyFont="1" applyFill="1"/>
    <xf numFmtId="37" fontId="54" fillId="0" borderId="0" xfId="31" quotePrefix="1" applyNumberFormat="1" applyFont="1" applyFill="1"/>
    <xf numFmtId="37" fontId="26" fillId="18" borderId="0" xfId="1" applyNumberFormat="1" applyFont="1" applyFill="1"/>
    <xf numFmtId="0" fontId="9" fillId="0" borderId="0" xfId="1" applyFont="1" applyFill="1" applyBorder="1"/>
    <xf numFmtId="0" fontId="4" fillId="0" borderId="0" xfId="1" applyFont="1" applyFill="1" applyBorder="1"/>
    <xf numFmtId="0" fontId="33" fillId="0" borderId="0" xfId="1" applyFont="1" applyFill="1"/>
    <xf numFmtId="0" fontId="4" fillId="2" borderId="63" xfId="1" applyFont="1" applyFill="1" applyBorder="1" applyAlignment="1">
      <alignment horizontal="left" indent="1"/>
    </xf>
    <xf numFmtId="0" fontId="4" fillId="2" borderId="62" xfId="1" applyFont="1" applyFill="1" applyBorder="1" applyAlignment="1">
      <alignment horizontal="center" vertical="center"/>
    </xf>
    <xf numFmtId="0" fontId="5" fillId="2" borderId="62" xfId="1" applyFont="1" applyFill="1" applyBorder="1"/>
    <xf numFmtId="0" fontId="4" fillId="2" borderId="61" xfId="1" applyFont="1" applyFill="1" applyBorder="1" applyAlignment="1">
      <alignment horizontal="center"/>
    </xf>
    <xf numFmtId="49" fontId="5" fillId="2" borderId="60" xfId="1" applyNumberFormat="1" applyFont="1" applyFill="1" applyBorder="1" applyAlignment="1">
      <alignment horizontal="center" wrapText="1"/>
    </xf>
    <xf numFmtId="49" fontId="5" fillId="2" borderId="59" xfId="1" applyNumberFormat="1" applyFont="1" applyFill="1" applyBorder="1" applyAlignment="1">
      <alignment horizontal="center" wrapText="1"/>
    </xf>
    <xf numFmtId="49" fontId="5" fillId="2" borderId="59" xfId="1" applyNumberFormat="1" applyFont="1" applyFill="1" applyBorder="1" applyAlignment="1">
      <alignment horizontal="center"/>
    </xf>
    <xf numFmtId="42" fontId="5" fillId="2" borderId="17" xfId="1" applyNumberFormat="1" applyFont="1" applyFill="1" applyBorder="1" applyAlignment="1">
      <alignment vertical="top"/>
    </xf>
    <xf numFmtId="49" fontId="5" fillId="2" borderId="8" xfId="1" applyNumberFormat="1" applyFont="1" applyFill="1" applyBorder="1" applyAlignment="1">
      <alignment vertical="top"/>
    </xf>
    <xf numFmtId="49" fontId="5" fillId="2" borderId="3" xfId="1" applyNumberFormat="1" applyFont="1" applyFill="1" applyBorder="1" applyAlignment="1">
      <alignment vertical="top"/>
    </xf>
    <xf numFmtId="164" fontId="5" fillId="2" borderId="3" xfId="1" applyNumberFormat="1" applyFont="1" applyFill="1" applyBorder="1" applyAlignment="1">
      <alignment vertical="top"/>
    </xf>
    <xf numFmtId="164" fontId="5" fillId="2" borderId="9" xfId="1" applyNumberFormat="1" applyFont="1" applyFill="1" applyBorder="1" applyAlignment="1">
      <alignment vertical="top"/>
    </xf>
    <xf numFmtId="0" fontId="31" fillId="6" borderId="3" xfId="1" applyFont="1" applyFill="1" applyBorder="1" applyAlignment="1">
      <alignment horizontal="center"/>
    </xf>
    <xf numFmtId="0" fontId="5" fillId="6" borderId="18" xfId="1" applyFont="1" applyFill="1" applyBorder="1"/>
    <xf numFmtId="165" fontId="5" fillId="6" borderId="18" xfId="9" applyNumberFormat="1" applyFont="1" applyFill="1" applyBorder="1"/>
    <xf numFmtId="0" fontId="2" fillId="0" borderId="0" xfId="1"/>
    <xf numFmtId="0" fontId="2" fillId="2" borderId="0" xfId="1" applyFill="1" applyBorder="1"/>
    <xf numFmtId="0" fontId="26" fillId="2" borderId="0" xfId="1" applyFont="1" applyFill="1" applyBorder="1"/>
    <xf numFmtId="0" fontId="2" fillId="2" borderId="40" xfId="1" applyFill="1" applyBorder="1"/>
    <xf numFmtId="0" fontId="55" fillId="2" borderId="41" xfId="1" applyFont="1" applyFill="1" applyBorder="1"/>
    <xf numFmtId="0" fontId="55" fillId="2" borderId="42" xfId="1" applyFont="1" applyFill="1" applyBorder="1"/>
    <xf numFmtId="0" fontId="55" fillId="2" borderId="0" xfId="1" applyFont="1" applyFill="1" applyBorder="1"/>
    <xf numFmtId="0" fontId="63" fillId="2" borderId="0" xfId="1" applyFont="1" applyFill="1" applyBorder="1"/>
    <xf numFmtId="0" fontId="2" fillId="2" borderId="43" xfId="1" applyFill="1" applyBorder="1"/>
    <xf numFmtId="0" fontId="55" fillId="2" borderId="0" xfId="1" applyFont="1" applyFill="1" applyBorder="1" applyAlignment="1"/>
    <xf numFmtId="0" fontId="55" fillId="2" borderId="45" xfId="1" applyFont="1" applyFill="1" applyBorder="1" applyAlignment="1"/>
    <xf numFmtId="0" fontId="2" fillId="2" borderId="43" xfId="1" applyFill="1" applyBorder="1" applyAlignment="1"/>
    <xf numFmtId="0" fontId="2" fillId="2" borderId="0" xfId="1" applyFill="1" applyBorder="1" applyAlignment="1"/>
    <xf numFmtId="0" fontId="63" fillId="2" borderId="45" xfId="1" applyFont="1" applyFill="1" applyBorder="1" applyAlignment="1"/>
    <xf numFmtId="0" fontId="63" fillId="2" borderId="43" xfId="1" applyFont="1" applyFill="1" applyBorder="1" applyAlignment="1"/>
    <xf numFmtId="0" fontId="63" fillId="2" borderId="0" xfId="1" applyFont="1" applyFill="1" applyBorder="1" applyAlignment="1"/>
    <xf numFmtId="0" fontId="2" fillId="0" borderId="0" xfId="1" applyBorder="1"/>
    <xf numFmtId="0" fontId="63" fillId="2" borderId="83" xfId="1" applyFont="1" applyFill="1" applyBorder="1" applyAlignment="1"/>
    <xf numFmtId="0" fontId="63" fillId="2" borderId="24" xfId="1" applyFont="1" applyFill="1" applyBorder="1" applyAlignment="1"/>
    <xf numFmtId="0" fontId="63" fillId="2" borderId="51" xfId="1" applyFont="1" applyFill="1" applyBorder="1" applyAlignment="1"/>
    <xf numFmtId="0" fontId="65" fillId="0" borderId="64" xfId="1" applyFont="1" applyFill="1" applyBorder="1" applyAlignment="1">
      <alignment horizontal="left"/>
    </xf>
    <xf numFmtId="0" fontId="65" fillId="0" borderId="65" xfId="1" applyFont="1" applyFill="1" applyBorder="1" applyAlignment="1">
      <alignment horizontal="left"/>
    </xf>
    <xf numFmtId="0" fontId="6" fillId="20" borderId="86" xfId="1" applyFont="1" applyFill="1" applyBorder="1" applyAlignment="1">
      <alignment horizontal="center"/>
    </xf>
    <xf numFmtId="0" fontId="65" fillId="0" borderId="65" xfId="1" applyFont="1" applyFill="1" applyBorder="1" applyAlignment="1">
      <alignment horizontal="left" indent="2"/>
    </xf>
    <xf numFmtId="0" fontId="6" fillId="20" borderId="87" xfId="1" applyFont="1" applyFill="1" applyBorder="1" applyAlignment="1">
      <alignment horizontal="center"/>
    </xf>
    <xf numFmtId="0" fontId="65" fillId="0" borderId="65" xfId="1" applyFont="1" applyFill="1" applyBorder="1"/>
    <xf numFmtId="0" fontId="2" fillId="19" borderId="88" xfId="1" applyFill="1" applyBorder="1"/>
    <xf numFmtId="0" fontId="2" fillId="19" borderId="10" xfId="1" applyFill="1" applyBorder="1"/>
    <xf numFmtId="0" fontId="2" fillId="19" borderId="57" xfId="1" applyFill="1" applyBorder="1"/>
    <xf numFmtId="0" fontId="6" fillId="20" borderId="82" xfId="1" applyFont="1" applyFill="1" applyBorder="1" applyAlignment="1">
      <alignment horizontal="center"/>
    </xf>
    <xf numFmtId="0" fontId="2" fillId="19" borderId="89" xfId="1" applyFill="1" applyBorder="1"/>
    <xf numFmtId="0" fontId="2" fillId="19" borderId="90" xfId="1" applyFill="1" applyBorder="1"/>
    <xf numFmtId="0" fontId="68" fillId="19" borderId="90" xfId="1" applyFont="1" applyFill="1" applyBorder="1"/>
    <xf numFmtId="0" fontId="6" fillId="0" borderId="91" xfId="1" applyFont="1" applyFill="1" applyBorder="1" applyAlignment="1">
      <alignment horizontal="center"/>
    </xf>
    <xf numFmtId="0" fontId="65" fillId="0" borderId="92" xfId="1" applyFont="1" applyFill="1" applyBorder="1"/>
    <xf numFmtId="0" fontId="6" fillId="0" borderId="82" xfId="1" applyFont="1" applyFill="1" applyBorder="1" applyAlignment="1">
      <alignment horizontal="center"/>
    </xf>
    <xf numFmtId="0" fontId="38" fillId="0" borderId="0" xfId="1" applyFont="1"/>
    <xf numFmtId="0" fontId="65" fillId="0" borderId="65" xfId="1" applyFont="1" applyFill="1" applyBorder="1" applyAlignment="1">
      <alignment wrapText="1"/>
    </xf>
    <xf numFmtId="0" fontId="65" fillId="0" borderId="65" xfId="1" applyFont="1" applyFill="1" applyBorder="1" applyAlignment="1">
      <alignment vertical="center" wrapText="1"/>
    </xf>
    <xf numFmtId="0" fontId="72" fillId="0" borderId="65" xfId="1" applyFont="1" applyFill="1" applyBorder="1" applyAlignment="1">
      <alignment horizontal="left" vertical="center"/>
    </xf>
    <xf numFmtId="0" fontId="70" fillId="0" borderId="0" xfId="1" applyFont="1" applyAlignment="1">
      <alignment horizontal="center" wrapText="1"/>
    </xf>
    <xf numFmtId="0" fontId="72" fillId="0" borderId="0" xfId="1" applyFont="1" applyBorder="1" applyAlignment="1">
      <alignment horizontal="center" wrapText="1"/>
    </xf>
    <xf numFmtId="0" fontId="65" fillId="2" borderId="65" xfId="1" applyFont="1" applyFill="1" applyBorder="1"/>
    <xf numFmtId="0" fontId="77" fillId="0" borderId="0" xfId="1" applyFont="1" applyAlignment="1">
      <alignment horizontal="center"/>
    </xf>
    <xf numFmtId="0" fontId="77" fillId="0" borderId="0" xfId="1" applyFont="1" applyBorder="1" applyAlignment="1">
      <alignment horizontal="center"/>
    </xf>
    <xf numFmtId="0" fontId="7" fillId="21" borderId="43" xfId="1" applyFont="1" applyFill="1" applyBorder="1" applyAlignment="1">
      <alignment horizontal="centerContinuous"/>
    </xf>
    <xf numFmtId="0" fontId="7" fillId="21" borderId="0" xfId="1" applyFont="1" applyFill="1" applyBorder="1" applyAlignment="1">
      <alignment horizontal="centerContinuous" vertical="center"/>
    </xf>
    <xf numFmtId="0" fontId="78" fillId="21" borderId="0" xfId="1" applyFont="1" applyFill="1" applyBorder="1" applyAlignment="1">
      <alignment horizontal="centerContinuous" vertical="center"/>
    </xf>
    <xf numFmtId="0" fontId="78" fillId="11" borderId="7" xfId="1" applyFont="1" applyFill="1" applyBorder="1" applyAlignment="1">
      <alignment horizontal="centerContinuous" vertical="center"/>
    </xf>
    <xf numFmtId="0" fontId="78" fillId="11" borderId="10" xfId="1" applyFont="1" applyFill="1" applyBorder="1" applyAlignment="1">
      <alignment horizontal="centerContinuous" vertical="center"/>
    </xf>
    <xf numFmtId="0" fontId="78" fillId="11" borderId="82" xfId="1" applyFont="1" applyFill="1" applyBorder="1" applyAlignment="1">
      <alignment vertical="center" textRotation="255"/>
    </xf>
    <xf numFmtId="0" fontId="78" fillId="11" borderId="57" xfId="1" applyFont="1" applyFill="1" applyBorder="1" applyAlignment="1">
      <alignment vertical="center"/>
    </xf>
    <xf numFmtId="0" fontId="78" fillId="11" borderId="82" xfId="1" applyFont="1" applyFill="1" applyBorder="1" applyAlignment="1">
      <alignment horizontal="centerContinuous" vertical="center"/>
    </xf>
    <xf numFmtId="0" fontId="7" fillId="2" borderId="94" xfId="1" applyFont="1" applyFill="1" applyBorder="1" applyAlignment="1">
      <alignment horizontal="center" vertical="center"/>
    </xf>
    <xf numFmtId="0" fontId="78" fillId="11" borderId="35" xfId="1" applyFont="1" applyFill="1" applyBorder="1" applyAlignment="1">
      <alignment horizontal="centerContinuous" vertical="center"/>
    </xf>
    <xf numFmtId="0" fontId="78" fillId="11" borderId="0" xfId="1" applyFont="1" applyFill="1" applyBorder="1" applyAlignment="1">
      <alignment horizontal="centerContinuous" vertical="center"/>
    </xf>
    <xf numFmtId="0" fontId="78" fillId="11" borderId="57" xfId="1" applyFont="1" applyFill="1" applyBorder="1" applyAlignment="1">
      <alignment horizontal="centerContinuous" vertical="center"/>
    </xf>
    <xf numFmtId="0" fontId="78" fillId="11" borderId="75" xfId="1" applyFont="1" applyFill="1" applyBorder="1" applyAlignment="1">
      <alignment horizontal="centerContinuous" vertical="center"/>
    </xf>
    <xf numFmtId="0" fontId="7" fillId="2" borderId="95" xfId="1" applyFont="1" applyFill="1" applyBorder="1" applyAlignment="1">
      <alignment horizontal="center" vertical="center"/>
    </xf>
    <xf numFmtId="0" fontId="7" fillId="11" borderId="39" xfId="1" applyFont="1" applyFill="1" applyBorder="1" applyAlignment="1">
      <alignment horizontal="centerContinuous"/>
    </xf>
    <xf numFmtId="0" fontId="7" fillId="11" borderId="13" xfId="1" applyFont="1" applyFill="1" applyBorder="1" applyAlignment="1">
      <alignment horizontal="centerContinuous" vertical="center"/>
    </xf>
    <xf numFmtId="0" fontId="26" fillId="11" borderId="13" xfId="1" applyFont="1" applyFill="1" applyBorder="1" applyAlignment="1">
      <alignment horizontal="centerContinuous" vertical="center"/>
    </xf>
    <xf numFmtId="0" fontId="26" fillId="11" borderId="2" xfId="1" applyFont="1" applyFill="1" applyBorder="1" applyAlignment="1">
      <alignment horizontal="center" vertical="center"/>
    </xf>
    <xf numFmtId="0" fontId="79" fillId="18" borderId="59" xfId="1" applyFont="1" applyFill="1" applyBorder="1"/>
    <xf numFmtId="0" fontId="7" fillId="2" borderId="41" xfId="1" applyFont="1" applyFill="1" applyBorder="1" applyAlignment="1">
      <alignment horizontal="right"/>
    </xf>
    <xf numFmtId="0" fontId="7" fillId="2" borderId="41" xfId="1" applyFont="1" applyFill="1" applyBorder="1"/>
    <xf numFmtId="0" fontId="79" fillId="18" borderId="18" xfId="1" applyFont="1" applyFill="1" applyBorder="1"/>
    <xf numFmtId="0" fontId="7" fillId="2" borderId="0" xfId="1" applyFont="1" applyFill="1" applyBorder="1" applyAlignment="1">
      <alignment horizontal="right"/>
    </xf>
    <xf numFmtId="0" fontId="79" fillId="18" borderId="3" xfId="1" applyFont="1" applyFill="1" applyBorder="1"/>
    <xf numFmtId="0" fontId="38" fillId="2" borderId="0" xfId="1" applyFont="1" applyFill="1" applyBorder="1"/>
    <xf numFmtId="0" fontId="2" fillId="2" borderId="0" xfId="1" applyFill="1"/>
    <xf numFmtId="0" fontId="63" fillId="2" borderId="0" xfId="1" applyFont="1" applyFill="1"/>
    <xf numFmtId="0" fontId="55" fillId="2" borderId="0" xfId="1" applyFont="1" applyFill="1"/>
    <xf numFmtId="0" fontId="63" fillId="2" borderId="0" xfId="1" applyFont="1" applyFill="1" applyAlignment="1">
      <alignment vertical="top"/>
    </xf>
    <xf numFmtId="0" fontId="26" fillId="2" borderId="0" xfId="1" applyFont="1" applyFill="1"/>
    <xf numFmtId="0" fontId="2" fillId="21" borderId="96" xfId="1" applyFill="1" applyBorder="1"/>
    <xf numFmtId="0" fontId="2" fillId="21" borderId="88" xfId="1" applyFill="1" applyBorder="1"/>
    <xf numFmtId="0" fontId="2" fillId="21" borderId="72" xfId="1" applyFill="1" applyBorder="1"/>
    <xf numFmtId="0" fontId="63" fillId="21" borderId="72" xfId="1" applyFont="1" applyFill="1" applyBorder="1" applyAlignment="1">
      <alignment horizontal="center"/>
    </xf>
    <xf numFmtId="0" fontId="63" fillId="0" borderId="12" xfId="1" applyFont="1" applyFill="1" applyBorder="1" applyAlignment="1">
      <alignment horizontal="center"/>
    </xf>
    <xf numFmtId="0" fontId="63" fillId="0" borderId="15" xfId="1" applyFont="1" applyFill="1" applyBorder="1" applyAlignment="1">
      <alignment horizontal="center"/>
    </xf>
    <xf numFmtId="0" fontId="63" fillId="0" borderId="11" xfId="1" applyFont="1" applyFill="1" applyBorder="1" applyAlignment="1">
      <alignment horizontal="center"/>
    </xf>
    <xf numFmtId="0" fontId="26" fillId="0" borderId="42" xfId="1" applyFont="1" applyFill="1" applyBorder="1"/>
    <xf numFmtId="0" fontId="2" fillId="21" borderId="10" xfId="1" applyFill="1" applyBorder="1"/>
    <xf numFmtId="0" fontId="63" fillId="21" borderId="10" xfId="1" applyFont="1" applyFill="1" applyBorder="1" applyAlignment="1">
      <alignment horizontal="center"/>
    </xf>
    <xf numFmtId="0" fontId="63" fillId="0" borderId="9" xfId="1" applyFont="1" applyFill="1" applyBorder="1" applyAlignment="1">
      <alignment horizontal="center"/>
    </xf>
    <xf numFmtId="0" fontId="63" fillId="0" borderId="3" xfId="1" applyFont="1" applyFill="1" applyBorder="1" applyAlignment="1">
      <alignment horizontal="center"/>
    </xf>
    <xf numFmtId="0" fontId="63" fillId="0" borderId="8" xfId="1" applyFont="1" applyFill="1" applyBorder="1" applyAlignment="1">
      <alignment horizontal="center"/>
    </xf>
    <xf numFmtId="0" fontId="26" fillId="0" borderId="68" xfId="1" applyFont="1" applyFill="1" applyBorder="1"/>
    <xf numFmtId="0" fontId="2" fillId="0" borderId="88" xfId="1" applyBorder="1"/>
    <xf numFmtId="0" fontId="2" fillId="21" borderId="43" xfId="1" applyFill="1" applyBorder="1"/>
    <xf numFmtId="0" fontId="2" fillId="21" borderId="0" xfId="1" applyFill="1" applyBorder="1"/>
    <xf numFmtId="0" fontId="63" fillId="21" borderId="0" xfId="1" applyFont="1" applyFill="1" applyBorder="1" applyAlignment="1">
      <alignment horizontal="center"/>
    </xf>
    <xf numFmtId="0" fontId="2" fillId="21" borderId="93" xfId="1" applyFill="1" applyBorder="1"/>
    <xf numFmtId="0" fontId="2" fillId="21" borderId="57" xfId="1" applyFill="1" applyBorder="1"/>
    <xf numFmtId="0" fontId="63" fillId="21" borderId="57" xfId="1" applyFont="1" applyFill="1" applyBorder="1" applyAlignment="1">
      <alignment horizontal="center"/>
    </xf>
    <xf numFmtId="0" fontId="2" fillId="21" borderId="68" xfId="1" applyFill="1" applyBorder="1"/>
    <xf numFmtId="0" fontId="2" fillId="2" borderId="88" xfId="1" applyFill="1" applyBorder="1" applyAlignment="1">
      <alignment horizontal="centerContinuous"/>
    </xf>
    <xf numFmtId="0" fontId="2" fillId="2" borderId="88" xfId="1" applyFill="1" applyBorder="1"/>
    <xf numFmtId="0" fontId="2" fillId="2" borderId="10" xfId="1" applyFill="1" applyBorder="1" applyAlignment="1">
      <alignment horizontal="centerContinuous"/>
    </xf>
    <xf numFmtId="0" fontId="63" fillId="2" borderId="10" xfId="1" applyFont="1" applyFill="1" applyBorder="1" applyAlignment="1">
      <alignment horizontal="center"/>
    </xf>
    <xf numFmtId="0" fontId="26" fillId="0" borderId="65" xfId="1" applyFont="1" applyFill="1" applyBorder="1"/>
    <xf numFmtId="0" fontId="2" fillId="21" borderId="61" xfId="1" applyFill="1" applyBorder="1"/>
    <xf numFmtId="0" fontId="2" fillId="21" borderId="62" xfId="1" applyFill="1" applyBorder="1"/>
    <xf numFmtId="0" fontId="26" fillId="0" borderId="63" xfId="1" applyFont="1" applyFill="1" applyBorder="1"/>
    <xf numFmtId="0" fontId="2" fillId="0" borderId="39" xfId="1" applyBorder="1" applyAlignment="1">
      <alignment horizontal="centerContinuous"/>
    </xf>
    <xf numFmtId="0" fontId="7" fillId="0" borderId="39" xfId="1" applyFont="1" applyBorder="1" applyAlignment="1">
      <alignment horizontal="centerContinuous"/>
    </xf>
    <xf numFmtId="0" fontId="63" fillId="0" borderId="13" xfId="1" applyFont="1" applyBorder="1" applyAlignment="1">
      <alignment horizontal="centerContinuous"/>
    </xf>
    <xf numFmtId="0" fontId="7" fillId="0" borderId="39" xfId="1" applyFont="1" applyBorder="1" applyAlignment="1">
      <alignment horizontal="centerContinuous" vertical="center"/>
    </xf>
    <xf numFmtId="0" fontId="7" fillId="0" borderId="2" xfId="1" applyFont="1" applyBorder="1" applyAlignment="1">
      <alignment horizontal="center" vertical="center"/>
    </xf>
    <xf numFmtId="0" fontId="2" fillId="18" borderId="18" xfId="1" applyFill="1" applyBorder="1"/>
    <xf numFmtId="0" fontId="63" fillId="2" borderId="0" xfId="1" applyFont="1" applyFill="1" applyBorder="1" applyAlignment="1">
      <alignment horizontal="right"/>
    </xf>
    <xf numFmtId="0" fontId="63" fillId="2" borderId="0" xfId="1" applyFont="1" applyFill="1" applyAlignment="1">
      <alignment horizontal="right"/>
    </xf>
    <xf numFmtId="0" fontId="2" fillId="18" borderId="3" xfId="1" applyFill="1" applyBorder="1"/>
    <xf numFmtId="0" fontId="81" fillId="0" borderId="0" xfId="21" applyFont="1"/>
    <xf numFmtId="0" fontId="0" fillId="0" borderId="0" xfId="21" applyFont="1"/>
    <xf numFmtId="0" fontId="82" fillId="0" borderId="0" xfId="34"/>
    <xf numFmtId="0" fontId="42" fillId="14" borderId="27" xfId="0" applyFont="1" applyFill="1" applyBorder="1" applyAlignment="1">
      <alignment horizontal="center" vertical="top"/>
    </xf>
    <xf numFmtId="0" fontId="42" fillId="14" borderId="27" xfId="30" applyFont="1" applyFill="1" applyBorder="1" applyAlignment="1">
      <alignment horizontal="center" vertical="top" wrapText="1"/>
    </xf>
    <xf numFmtId="0" fontId="83" fillId="0" borderId="3" xfId="0" applyFont="1" applyBorder="1" applyAlignment="1">
      <alignment horizontal="left" vertical="top"/>
    </xf>
    <xf numFmtId="0" fontId="84" fillId="0" borderId="3" xfId="0" applyFont="1" applyBorder="1" applyAlignment="1">
      <alignment horizontal="left" vertical="top"/>
    </xf>
    <xf numFmtId="3" fontId="84" fillId="0" borderId="3" xfId="0" applyNumberFormat="1" applyFont="1" applyBorder="1" applyAlignment="1">
      <alignment horizontal="right" vertical="top"/>
    </xf>
    <xf numFmtId="0" fontId="2" fillId="0" borderId="3" xfId="35" applyNumberFormat="1" applyFont="1" applyFill="1" applyBorder="1" applyAlignment="1">
      <alignment horizontal="left" wrapText="1"/>
    </xf>
    <xf numFmtId="0" fontId="2" fillId="0" borderId="3" xfId="1" applyFont="1" applyFill="1" applyBorder="1" applyAlignment="1">
      <alignment horizontal="center"/>
    </xf>
    <xf numFmtId="0" fontId="2" fillId="0" borderId="3" xfId="1" applyFont="1" applyBorder="1" applyAlignment="1">
      <alignment wrapText="1"/>
    </xf>
    <xf numFmtId="0" fontId="2" fillId="17" borderId="3" xfId="1" applyFont="1" applyFill="1" applyBorder="1" applyAlignment="1">
      <alignment wrapText="1"/>
    </xf>
    <xf numFmtId="0" fontId="2" fillId="0" borderId="7" xfId="1" applyFont="1" applyBorder="1" applyAlignment="1">
      <alignment wrapText="1"/>
    </xf>
    <xf numFmtId="44" fontId="2" fillId="0" borderId="5" xfId="12" applyNumberFormat="1" applyFont="1" applyBorder="1"/>
    <xf numFmtId="0" fontId="2" fillId="0" borderId="19" xfId="1" applyFont="1" applyBorder="1" applyAlignment="1">
      <alignment wrapText="1"/>
    </xf>
    <xf numFmtId="0" fontId="2" fillId="0" borderId="18" xfId="1" applyFont="1" applyBorder="1"/>
    <xf numFmtId="0" fontId="25" fillId="0" borderId="18" xfId="0" applyFont="1" applyBorder="1"/>
    <xf numFmtId="0" fontId="2" fillId="0" borderId="18" xfId="1" applyFont="1" applyFill="1" applyBorder="1" applyAlignment="1">
      <alignment horizontal="center"/>
    </xf>
    <xf numFmtId="0" fontId="2" fillId="0" borderId="18" xfId="1" applyFont="1" applyBorder="1" applyAlignment="1">
      <alignment wrapText="1"/>
    </xf>
    <xf numFmtId="0" fontId="25" fillId="0" borderId="3" xfId="0" applyFont="1" applyBorder="1"/>
    <xf numFmtId="0" fontId="2" fillId="0" borderId="4" xfId="1" applyFont="1" applyBorder="1"/>
    <xf numFmtId="0" fontId="2" fillId="17" borderId="9" xfId="1" applyFont="1" applyFill="1" applyBorder="1" applyAlignment="1">
      <alignment wrapText="1"/>
    </xf>
    <xf numFmtId="164" fontId="5" fillId="0" borderId="3" xfId="1" applyNumberFormat="1" applyFont="1" applyFill="1" applyBorder="1" applyAlignment="1">
      <alignment vertical="top"/>
    </xf>
    <xf numFmtId="42" fontId="5" fillId="0" borderId="18" xfId="1" applyNumberFormat="1" applyFont="1" applyFill="1" applyBorder="1" applyAlignment="1">
      <alignment vertical="top"/>
    </xf>
    <xf numFmtId="164" fontId="5" fillId="0" borderId="4" xfId="1" applyNumberFormat="1" applyFont="1" applyFill="1" applyBorder="1" applyAlignment="1">
      <alignment vertical="top"/>
    </xf>
    <xf numFmtId="164" fontId="13" fillId="2" borderId="4" xfId="1" applyNumberFormat="1" applyFont="1" applyFill="1" applyBorder="1" applyAlignment="1">
      <alignment vertical="top" wrapText="1"/>
    </xf>
    <xf numFmtId="49" fontId="5" fillId="2" borderId="76" xfId="1" applyNumberFormat="1" applyFont="1" applyFill="1" applyBorder="1" applyAlignment="1">
      <alignment horizontal="center" wrapText="1"/>
    </xf>
    <xf numFmtId="164" fontId="13" fillId="2" borderId="0" xfId="1" applyNumberFormat="1" applyFont="1" applyFill="1" applyBorder="1" applyAlignment="1">
      <alignment vertical="top" wrapText="1"/>
    </xf>
    <xf numFmtId="164" fontId="13" fillId="2" borderId="4" xfId="1" applyNumberFormat="1" applyFont="1" applyFill="1" applyBorder="1" applyAlignment="1">
      <alignment vertical="top" wrapText="1"/>
    </xf>
    <xf numFmtId="164" fontId="13" fillId="0" borderId="9" xfId="1" applyNumberFormat="1" applyFont="1" applyFill="1" applyBorder="1" applyAlignment="1">
      <alignment vertical="top" wrapText="1"/>
    </xf>
    <xf numFmtId="164" fontId="13" fillId="2" borderId="17" xfId="1" applyNumberFormat="1" applyFont="1" applyFill="1" applyBorder="1" applyAlignment="1">
      <alignment vertical="top" wrapText="1"/>
    </xf>
    <xf numFmtId="164" fontId="13" fillId="0" borderId="0" xfId="1" applyNumberFormat="1" applyFont="1" applyFill="1" applyBorder="1" applyAlignment="1">
      <alignment vertical="top" wrapText="1"/>
    </xf>
    <xf numFmtId="49" fontId="5" fillId="0" borderId="3" xfId="1" applyNumberFormat="1" applyFont="1" applyFill="1" applyBorder="1" applyAlignment="1">
      <alignment vertical="top"/>
    </xf>
    <xf numFmtId="0" fontId="5" fillId="2" borderId="0" xfId="1" applyFont="1" applyFill="1" applyBorder="1" applyAlignment="1">
      <alignment horizontal="center"/>
    </xf>
    <xf numFmtId="9" fontId="5" fillId="2" borderId="0" xfId="24" applyFont="1" applyFill="1" applyBorder="1"/>
    <xf numFmtId="0" fontId="85" fillId="2" borderId="3" xfId="1" applyFont="1" applyFill="1" applyBorder="1" applyAlignment="1">
      <alignment horizontal="center"/>
    </xf>
    <xf numFmtId="0" fontId="86" fillId="0" borderId="3" xfId="0" applyFont="1" applyFill="1" applyBorder="1"/>
    <xf numFmtId="0" fontId="85" fillId="0" borderId="3" xfId="1" applyFont="1" applyFill="1" applyBorder="1"/>
    <xf numFmtId="0" fontId="85" fillId="2" borderId="3" xfId="1" applyFont="1" applyFill="1" applyBorder="1"/>
    <xf numFmtId="0" fontId="85" fillId="9" borderId="3" xfId="1" applyFont="1" applyFill="1" applyBorder="1" applyAlignment="1">
      <alignment horizontal="center" vertical="center" wrapText="1"/>
    </xf>
    <xf numFmtId="44" fontId="85" fillId="0" borderId="3" xfId="9" applyFont="1" applyFill="1" applyBorder="1"/>
    <xf numFmtId="1" fontId="85" fillId="0" borderId="3" xfId="9" applyNumberFormat="1" applyFont="1" applyFill="1" applyBorder="1"/>
    <xf numFmtId="44" fontId="85" fillId="2" borderId="3" xfId="9" applyFont="1" applyFill="1" applyBorder="1"/>
    <xf numFmtId="167" fontId="85" fillId="0" borderId="3" xfId="24" applyNumberFormat="1" applyFont="1" applyFill="1" applyBorder="1"/>
    <xf numFmtId="9" fontId="85" fillId="8" borderId="3" xfId="24" applyFont="1" applyFill="1" applyBorder="1"/>
    <xf numFmtId="9" fontId="85" fillId="8" borderId="3" xfId="9" applyNumberFormat="1" applyFont="1" applyFill="1" applyBorder="1"/>
    <xf numFmtId="0" fontId="85" fillId="2" borderId="3" xfId="9" applyNumberFormat="1" applyFont="1" applyFill="1" applyBorder="1"/>
    <xf numFmtId="44" fontId="85" fillId="2" borderId="3" xfId="9" applyNumberFormat="1" applyFont="1" applyFill="1" applyBorder="1"/>
    <xf numFmtId="9" fontId="85" fillId="8" borderId="3" xfId="1" applyNumberFormat="1" applyFont="1" applyFill="1" applyBorder="1"/>
    <xf numFmtId="0" fontId="85" fillId="8" borderId="3" xfId="1" applyFont="1" applyFill="1" applyBorder="1"/>
    <xf numFmtId="167" fontId="85" fillId="0" borderId="3" xfId="9" applyNumberFormat="1" applyFont="1" applyFill="1" applyBorder="1"/>
    <xf numFmtId="0" fontId="86" fillId="0" borderId="3" xfId="0" applyFont="1" applyFill="1" applyBorder="1" applyAlignment="1">
      <alignment wrapText="1"/>
    </xf>
    <xf numFmtId="0" fontId="86" fillId="0" borderId="0" xfId="0" applyFont="1"/>
    <xf numFmtId="0" fontId="85" fillId="9" borderId="3" xfId="1" applyFont="1" applyFill="1" applyBorder="1" applyAlignment="1">
      <alignment horizontal="center" vertical="center"/>
    </xf>
    <xf numFmtId="44" fontId="85" fillId="0" borderId="27" xfId="9" applyFont="1" applyFill="1" applyBorder="1"/>
    <xf numFmtId="9" fontId="85" fillId="8" borderId="27" xfId="24" applyFont="1" applyFill="1" applyBorder="1"/>
    <xf numFmtId="0" fontId="86" fillId="0" borderId="27" xfId="0" applyFont="1" applyFill="1" applyBorder="1"/>
    <xf numFmtId="44" fontId="85" fillId="2" borderId="27" xfId="9" applyFont="1" applyFill="1" applyBorder="1"/>
    <xf numFmtId="0" fontId="85" fillId="8" borderId="27" xfId="1" applyFont="1" applyFill="1" applyBorder="1"/>
    <xf numFmtId="0" fontId="85" fillId="0" borderId="27" xfId="1" applyFont="1" applyFill="1" applyBorder="1"/>
    <xf numFmtId="44" fontId="85" fillId="0" borderId="27" xfId="9" applyNumberFormat="1" applyFont="1" applyFill="1" applyBorder="1"/>
    <xf numFmtId="44" fontId="85" fillId="0" borderId="23" xfId="9" applyFont="1" applyFill="1" applyBorder="1"/>
    <xf numFmtId="164" fontId="5" fillId="0" borderId="9" xfId="1" applyNumberFormat="1" applyFont="1" applyFill="1" applyBorder="1" applyAlignment="1">
      <alignment vertical="top" wrapText="1"/>
    </xf>
    <xf numFmtId="165" fontId="13" fillId="0" borderId="3" xfId="28" applyNumberFormat="1" applyFont="1" applyFill="1" applyBorder="1" applyAlignment="1">
      <alignment vertical="top"/>
    </xf>
    <xf numFmtId="165" fontId="13" fillId="0" borderId="18" xfId="28" applyNumberFormat="1" applyFont="1" applyFill="1" applyBorder="1" applyAlignment="1">
      <alignment vertical="top"/>
    </xf>
    <xf numFmtId="165" fontId="13" fillId="0" borderId="4" xfId="28" applyNumberFormat="1" applyFont="1" applyFill="1" applyBorder="1" applyAlignment="1">
      <alignment vertical="top"/>
    </xf>
    <xf numFmtId="165" fontId="13" fillId="0" borderId="17" xfId="28" applyNumberFormat="1" applyFont="1" applyFill="1" applyBorder="1" applyAlignment="1">
      <alignment vertical="top"/>
    </xf>
    <xf numFmtId="165" fontId="5" fillId="0" borderId="3" xfId="28" applyNumberFormat="1" applyFont="1" applyFill="1" applyBorder="1" applyAlignment="1">
      <alignment vertical="top"/>
    </xf>
    <xf numFmtId="165" fontId="5" fillId="0" borderId="18" xfId="28" applyNumberFormat="1" applyFont="1" applyFill="1" applyBorder="1" applyAlignment="1">
      <alignment vertical="top"/>
    </xf>
    <xf numFmtId="165" fontId="5" fillId="0" borderId="4" xfId="28" applyNumberFormat="1" applyFont="1" applyFill="1" applyBorder="1" applyAlignment="1">
      <alignment vertical="top"/>
    </xf>
    <xf numFmtId="0" fontId="87" fillId="0" borderId="98" xfId="0" applyFont="1" applyBorder="1" applyAlignment="1">
      <alignment horizontal="center" vertical="top"/>
    </xf>
    <xf numFmtId="0" fontId="87" fillId="0" borderId="98" xfId="0" applyFont="1" applyBorder="1" applyAlignment="1">
      <alignment vertical="top"/>
    </xf>
    <xf numFmtId="0" fontId="0" fillId="0" borderId="98" xfId="0" applyBorder="1"/>
    <xf numFmtId="3" fontId="87" fillId="0" borderId="98" xfId="0" applyNumberFormat="1" applyFont="1" applyBorder="1" applyAlignment="1">
      <alignment horizontal="right" vertical="top"/>
    </xf>
    <xf numFmtId="167" fontId="85" fillId="2" borderId="27" xfId="24" applyNumberFormat="1" applyFont="1" applyFill="1" applyBorder="1"/>
    <xf numFmtId="0" fontId="26" fillId="3" borderId="95" xfId="1" applyFont="1" applyFill="1" applyBorder="1" applyAlignment="1">
      <alignment horizontal="center" vertical="center" wrapText="1"/>
    </xf>
    <xf numFmtId="44" fontId="2" fillId="2" borderId="64" xfId="28" applyFont="1" applyFill="1" applyBorder="1"/>
    <xf numFmtId="165" fontId="13" fillId="2" borderId="4" xfId="28" applyNumberFormat="1" applyFont="1" applyFill="1" applyBorder="1" applyAlignment="1">
      <alignment vertical="top"/>
    </xf>
    <xf numFmtId="49" fontId="28" fillId="18" borderId="0" xfId="1" quotePrefix="1" applyNumberFormat="1" applyFont="1" applyFill="1" applyBorder="1" applyAlignment="1">
      <alignment horizontal="center"/>
    </xf>
    <xf numFmtId="37" fontId="28" fillId="18" borderId="0" xfId="1" applyNumberFormat="1" applyFont="1" applyFill="1" applyBorder="1"/>
    <xf numFmtId="37" fontId="2" fillId="18" borderId="26" xfId="1" applyNumberFormat="1" applyFont="1" applyFill="1" applyBorder="1" applyAlignment="1" applyProtection="1">
      <alignment horizontal="left"/>
    </xf>
    <xf numFmtId="171" fontId="28" fillId="18" borderId="0" xfId="1" applyNumberFormat="1" applyFont="1" applyFill="1" applyBorder="1"/>
    <xf numFmtId="49" fontId="28" fillId="18" borderId="23" xfId="1" quotePrefix="1" applyNumberFormat="1" applyFont="1" applyFill="1" applyBorder="1" applyAlignment="1">
      <alignment horizontal="center"/>
    </xf>
    <xf numFmtId="37" fontId="2" fillId="18" borderId="28" xfId="1" applyNumberFormat="1" applyFont="1" applyFill="1" applyBorder="1" applyAlignment="1" applyProtection="1">
      <alignment horizontal="left"/>
    </xf>
    <xf numFmtId="171" fontId="28" fillId="18" borderId="3" xfId="1" applyNumberFormat="1" applyFont="1" applyFill="1" applyBorder="1"/>
    <xf numFmtId="49" fontId="123" fillId="18" borderId="0" xfId="1" quotePrefix="1" applyNumberFormat="1" applyFont="1" applyFill="1" applyBorder="1" applyAlignment="1">
      <alignment horizontal="center"/>
    </xf>
    <xf numFmtId="37" fontId="28" fillId="18" borderId="3" xfId="1" applyNumberFormat="1" applyFont="1" applyFill="1" applyBorder="1"/>
    <xf numFmtId="170" fontId="2" fillId="2" borderId="0" xfId="18" applyNumberFormat="1" applyFont="1" applyFill="1" applyBorder="1"/>
    <xf numFmtId="37" fontId="2" fillId="2" borderId="0" xfId="32" applyNumberFormat="1" applyFont="1" applyFill="1" applyAlignment="1" applyProtection="1">
      <alignment horizontal="left"/>
    </xf>
    <xf numFmtId="42" fontId="5" fillId="0" borderId="17" xfId="1" applyNumberFormat="1" applyFont="1" applyFill="1" applyBorder="1" applyAlignment="1">
      <alignment vertical="top"/>
    </xf>
    <xf numFmtId="165" fontId="2" fillId="7" borderId="5" xfId="12" applyNumberFormat="1" applyFont="1" applyFill="1" applyBorder="1"/>
    <xf numFmtId="49" fontId="82" fillId="18" borderId="0" xfId="34" quotePrefix="1" applyNumberFormat="1" applyFill="1" applyBorder="1" applyAlignment="1">
      <alignment horizontal="center"/>
    </xf>
    <xf numFmtId="165" fontId="2" fillId="0" borderId="8" xfId="12" applyNumberFormat="1" applyFont="1" applyFill="1" applyBorder="1"/>
    <xf numFmtId="165" fontId="2" fillId="0" borderId="0" xfId="22" applyNumberFormat="1"/>
    <xf numFmtId="14" fontId="2" fillId="0" borderId="18" xfId="1" applyNumberFormat="1" applyFont="1" applyFill="1" applyBorder="1"/>
    <xf numFmtId="165" fontId="2" fillId="17" borderId="19" xfId="12" applyNumberFormat="1" applyFont="1" applyFill="1" applyBorder="1"/>
    <xf numFmtId="165" fontId="2" fillId="7" borderId="19" xfId="12" applyNumberFormat="1" applyFont="1" applyFill="1" applyBorder="1"/>
    <xf numFmtId="9" fontId="2" fillId="0" borderId="17" xfId="27" applyFont="1" applyBorder="1"/>
    <xf numFmtId="165" fontId="2" fillId="0" borderId="17" xfId="12" applyNumberFormat="1" applyFont="1" applyBorder="1"/>
    <xf numFmtId="43" fontId="2" fillId="0" borderId="16" xfId="2" applyFont="1" applyBorder="1"/>
    <xf numFmtId="0" fontId="5" fillId="2" borderId="0" xfId="1" applyFont="1" applyFill="1" applyBorder="1" applyAlignment="1">
      <alignment horizontal="left"/>
    </xf>
    <xf numFmtId="0" fontId="16" fillId="2" borderId="0" xfId="1" applyFont="1" applyFill="1" applyBorder="1" applyAlignment="1">
      <alignment horizontal="left" wrapText="1" indent="1"/>
    </xf>
    <xf numFmtId="0" fontId="9" fillId="2" borderId="50" xfId="20" applyFont="1" applyFill="1" applyBorder="1" applyAlignment="1">
      <alignment horizontal="center" vertical="center"/>
    </xf>
    <xf numFmtId="0" fontId="4" fillId="2" borderId="50" xfId="20" applyFont="1" applyFill="1" applyBorder="1" applyAlignment="1">
      <alignment horizontal="center" vertical="center"/>
    </xf>
    <xf numFmtId="0" fontId="4" fillId="2" borderId="49" xfId="20" applyFont="1" applyFill="1" applyBorder="1" applyAlignment="1">
      <alignment horizontal="center" vertical="center"/>
    </xf>
    <xf numFmtId="0" fontId="2" fillId="0" borderId="33" xfId="20" applyFont="1" applyBorder="1" applyAlignment="1">
      <alignment horizontal="left" wrapText="1"/>
    </xf>
    <xf numFmtId="0" fontId="1" fillId="0" borderId="32" xfId="21" applyBorder="1" applyAlignment="1">
      <alignment horizontal="left" wrapText="1"/>
    </xf>
    <xf numFmtId="0" fontId="1" fillId="0" borderId="31" xfId="21" applyBorder="1" applyAlignment="1">
      <alignment horizontal="left" wrapText="1"/>
    </xf>
    <xf numFmtId="0" fontId="2" fillId="0" borderId="28" xfId="20" applyFont="1" applyFill="1" applyBorder="1" applyAlignment="1">
      <alignment horizontal="left" wrapText="1"/>
    </xf>
    <xf numFmtId="0" fontId="1" fillId="0" borderId="23" xfId="21" applyFill="1" applyBorder="1" applyAlignment="1">
      <alignment horizontal="left" wrapText="1"/>
    </xf>
    <xf numFmtId="0" fontId="1" fillId="0" borderId="37" xfId="21" applyFill="1" applyBorder="1" applyAlignment="1">
      <alignment horizontal="left" wrapText="1"/>
    </xf>
    <xf numFmtId="0" fontId="2" fillId="0" borderId="33" xfId="20" applyFont="1" applyFill="1" applyBorder="1" applyAlignment="1">
      <alignment horizontal="left" wrapText="1"/>
    </xf>
    <xf numFmtId="0" fontId="1" fillId="0" borderId="32" xfId="21" applyFill="1" applyBorder="1" applyAlignment="1">
      <alignment horizontal="left" wrapText="1"/>
    </xf>
    <xf numFmtId="0" fontId="1" fillId="0" borderId="31" xfId="21" applyFill="1" applyBorder="1" applyAlignment="1">
      <alignment horizontal="left" wrapText="1"/>
    </xf>
    <xf numFmtId="0" fontId="2" fillId="0" borderId="28" xfId="20" applyFont="1" applyBorder="1" applyAlignment="1">
      <alignment horizontal="left" wrapText="1"/>
    </xf>
    <xf numFmtId="0" fontId="1" fillId="0" borderId="23" xfId="21" applyBorder="1" applyAlignment="1">
      <alignment horizontal="left" wrapText="1"/>
    </xf>
    <xf numFmtId="0" fontId="1" fillId="0" borderId="37" xfId="21" applyBorder="1" applyAlignment="1">
      <alignment horizontal="left" wrapText="1"/>
    </xf>
    <xf numFmtId="0" fontId="2" fillId="0" borderId="26" xfId="20" applyFont="1" applyBorder="1" applyAlignment="1">
      <alignment horizontal="left" wrapText="1"/>
    </xf>
    <xf numFmtId="0" fontId="1" fillId="0" borderId="0" xfId="21" applyBorder="1" applyAlignment="1">
      <alignment horizontal="left" wrapText="1"/>
    </xf>
    <xf numFmtId="0" fontId="1" fillId="0" borderId="35" xfId="21" applyBorder="1" applyAlignment="1">
      <alignment horizontal="left" wrapText="1"/>
    </xf>
    <xf numFmtId="0" fontId="2" fillId="0" borderId="26" xfId="20" applyFont="1" applyFill="1" applyBorder="1" applyAlignment="1">
      <alignment horizontal="left" wrapText="1"/>
    </xf>
    <xf numFmtId="0" fontId="1" fillId="0" borderId="0" xfId="21" applyFill="1" applyBorder="1" applyAlignment="1">
      <alignment horizontal="left" wrapText="1"/>
    </xf>
    <xf numFmtId="0" fontId="1" fillId="0" borderId="35" xfId="21" applyFill="1" applyBorder="1" applyAlignment="1">
      <alignment horizontal="left" wrapText="1"/>
    </xf>
    <xf numFmtId="0" fontId="20" fillId="13" borderId="53" xfId="20" applyFont="1" applyFill="1" applyBorder="1" applyAlignment="1">
      <alignment horizontal="center" vertical="center"/>
    </xf>
    <xf numFmtId="0" fontId="20" fillId="13" borderId="52" xfId="20" applyFont="1" applyFill="1" applyBorder="1" applyAlignment="1">
      <alignment horizontal="center" vertical="center"/>
    </xf>
    <xf numFmtId="0" fontId="20" fillId="13" borderId="21" xfId="20" applyFont="1" applyFill="1" applyBorder="1" applyAlignment="1">
      <alignment horizontal="center" vertical="center"/>
    </xf>
    <xf numFmtId="0" fontId="5" fillId="7" borderId="0" xfId="20" applyFont="1" applyFill="1" applyBorder="1"/>
    <xf numFmtId="0" fontId="4" fillId="2" borderId="0" xfId="20" applyFont="1" applyFill="1" applyBorder="1" applyAlignment="1"/>
    <xf numFmtId="0" fontId="1" fillId="0" borderId="0" xfId="21" applyAlignment="1"/>
    <xf numFmtId="0" fontId="5" fillId="0" borderId="0" xfId="20" applyFont="1" applyFill="1" applyBorder="1"/>
    <xf numFmtId="0" fontId="5" fillId="2" borderId="57" xfId="20" applyFont="1" applyFill="1" applyBorder="1" applyAlignment="1"/>
    <xf numFmtId="0" fontId="33" fillId="0" borderId="4" xfId="20" applyFont="1" applyFill="1" applyBorder="1" applyAlignment="1">
      <alignment vertical="top" wrapText="1"/>
    </xf>
    <xf numFmtId="0" fontId="5" fillId="0" borderId="10" xfId="20" applyFont="1" applyFill="1" applyBorder="1" applyAlignment="1">
      <alignment vertical="top" wrapText="1"/>
    </xf>
    <xf numFmtId="0" fontId="5" fillId="0" borderId="7" xfId="20" applyFont="1" applyFill="1" applyBorder="1" applyAlignment="1">
      <alignment vertical="top" wrapText="1"/>
    </xf>
    <xf numFmtId="0" fontId="4" fillId="2" borderId="0" xfId="20" applyFont="1" applyFill="1" applyBorder="1" applyAlignment="1">
      <alignment wrapText="1"/>
    </xf>
    <xf numFmtId="0" fontId="26" fillId="2" borderId="0" xfId="19" applyFont="1" applyFill="1" applyAlignment="1">
      <alignment horizontal="left" wrapText="1"/>
    </xf>
    <xf numFmtId="164" fontId="5" fillId="2" borderId="122" xfId="1" applyNumberFormat="1" applyFont="1" applyFill="1" applyBorder="1" applyAlignment="1">
      <alignment horizontal="left" vertical="top" wrapText="1"/>
    </xf>
    <xf numFmtId="164" fontId="5" fillId="2" borderId="16" xfId="1" applyNumberFormat="1" applyFont="1" applyFill="1" applyBorder="1" applyAlignment="1">
      <alignment horizontal="left" vertical="top" wrapText="1"/>
    </xf>
    <xf numFmtId="164" fontId="13" fillId="2" borderId="4" xfId="1" applyNumberFormat="1" applyFont="1" applyFill="1" applyBorder="1" applyAlignment="1">
      <alignment vertical="top" wrapText="1"/>
    </xf>
    <xf numFmtId="164" fontId="13" fillId="2" borderId="10" xfId="1" applyNumberFormat="1" applyFont="1" applyFill="1" applyBorder="1" applyAlignment="1">
      <alignment vertical="top" wrapText="1"/>
    </xf>
    <xf numFmtId="164" fontId="13" fillId="2" borderId="7" xfId="1" applyNumberFormat="1" applyFont="1" applyFill="1" applyBorder="1" applyAlignment="1">
      <alignment vertical="top" wrapText="1"/>
    </xf>
    <xf numFmtId="164" fontId="13" fillId="0" borderId="4" xfId="1" applyNumberFormat="1" applyFont="1" applyFill="1" applyBorder="1" applyAlignment="1">
      <alignment vertical="top" wrapText="1"/>
    </xf>
    <xf numFmtId="164" fontId="13" fillId="0" borderId="10" xfId="1" applyNumberFormat="1" applyFont="1" applyFill="1" applyBorder="1" applyAlignment="1">
      <alignment vertical="top" wrapText="1"/>
    </xf>
    <xf numFmtId="164" fontId="13" fillId="0" borderId="7" xfId="1" applyNumberFormat="1" applyFont="1" applyFill="1" applyBorder="1" applyAlignment="1">
      <alignment vertical="top" wrapText="1"/>
    </xf>
    <xf numFmtId="0" fontId="31" fillId="6" borderId="3" xfId="1" applyFont="1" applyFill="1" applyBorder="1" applyAlignment="1">
      <alignment horizontal="center"/>
    </xf>
    <xf numFmtId="0" fontId="88" fillId="0" borderId="99" xfId="0" applyFont="1" applyBorder="1" applyAlignment="1">
      <alignment horizontal="left" wrapText="1"/>
    </xf>
    <xf numFmtId="0" fontId="88" fillId="0" borderId="100" xfId="0" applyFont="1" applyBorder="1" applyAlignment="1">
      <alignment horizontal="left" wrapText="1"/>
    </xf>
    <xf numFmtId="0" fontId="88" fillId="0" borderId="101" xfId="0" applyFont="1" applyBorder="1" applyAlignment="1">
      <alignment horizontal="left" wrapText="1"/>
    </xf>
    <xf numFmtId="0" fontId="5" fillId="6" borderId="102" xfId="1" applyFont="1" applyFill="1" applyBorder="1" applyAlignment="1">
      <alignment horizontal="center" wrapText="1"/>
    </xf>
    <xf numFmtId="0" fontId="5" fillId="6" borderId="103" xfId="1" applyFont="1" applyFill="1" applyBorder="1" applyAlignment="1">
      <alignment horizontal="center" wrapText="1"/>
    </xf>
    <xf numFmtId="0" fontId="5" fillId="6" borderId="104" xfId="1" applyFont="1" applyFill="1" applyBorder="1" applyAlignment="1">
      <alignment horizontal="center" wrapText="1"/>
    </xf>
    <xf numFmtId="0" fontId="88" fillId="0" borderId="100" xfId="0" applyFont="1" applyBorder="1" applyAlignment="1">
      <alignment horizontal="left"/>
    </xf>
    <xf numFmtId="0" fontId="88" fillId="0" borderId="101" xfId="0" applyFont="1" applyBorder="1" applyAlignment="1">
      <alignment horizontal="left"/>
    </xf>
    <xf numFmtId="0" fontId="4" fillId="12" borderId="3" xfId="1" applyFont="1" applyFill="1" applyBorder="1" applyAlignment="1">
      <alignment horizontal="center" vertical="center"/>
    </xf>
    <xf numFmtId="165" fontId="5" fillId="12" borderId="3" xfId="12" applyNumberFormat="1" applyFont="1" applyFill="1" applyBorder="1" applyAlignment="1">
      <alignment horizontal="center" vertical="center" wrapText="1"/>
    </xf>
    <xf numFmtId="0" fontId="5" fillId="7" borderId="3" xfId="1" applyFont="1" applyFill="1" applyBorder="1" applyAlignment="1">
      <alignment horizontal="center" vertical="center" wrapText="1"/>
    </xf>
    <xf numFmtId="0" fontId="2" fillId="7" borderId="3" xfId="1" applyFill="1" applyBorder="1" applyAlignment="1">
      <alignment horizontal="center" vertical="center" wrapText="1"/>
    </xf>
    <xf numFmtId="0" fontId="2" fillId="17" borderId="77" xfId="1" applyFont="1" applyFill="1" applyBorder="1" applyAlignment="1">
      <alignment wrapText="1"/>
    </xf>
    <xf numFmtId="0" fontId="0" fillId="0" borderId="16" xfId="0" applyBorder="1" applyAlignment="1">
      <alignment wrapText="1"/>
    </xf>
    <xf numFmtId="0" fontId="2" fillId="17" borderId="77" xfId="1" applyFont="1" applyFill="1" applyBorder="1" applyAlignment="1">
      <alignment horizontal="center" vertical="center" wrapText="1"/>
    </xf>
    <xf numFmtId="0" fontId="2" fillId="17" borderId="58" xfId="1" applyFont="1" applyFill="1" applyBorder="1" applyAlignment="1">
      <alignment horizontal="center" vertical="center" wrapText="1"/>
    </xf>
    <xf numFmtId="165" fontId="2" fillId="0" borderId="79" xfId="12" applyNumberFormat="1" applyFont="1" applyBorder="1" applyAlignment="1">
      <alignment horizontal="center" vertical="center" wrapText="1"/>
    </xf>
    <xf numFmtId="165" fontId="2" fillId="0" borderId="76" xfId="12" applyNumberFormat="1" applyFont="1" applyBorder="1" applyAlignment="1">
      <alignment horizontal="center" vertical="center" wrapText="1"/>
    </xf>
    <xf numFmtId="165" fontId="2" fillId="0" borderId="77" xfId="12" quotePrefix="1" applyNumberFormat="1" applyFont="1" applyFill="1" applyBorder="1" applyAlignment="1">
      <alignment horizontal="center" vertical="center" wrapText="1"/>
    </xf>
    <xf numFmtId="165" fontId="2" fillId="0" borderId="58" xfId="12" quotePrefix="1" applyNumberFormat="1" applyFont="1" applyFill="1" applyBorder="1" applyAlignment="1">
      <alignment horizontal="center" vertical="center" wrapText="1"/>
    </xf>
    <xf numFmtId="9" fontId="2" fillId="0" borderId="80" xfId="27" quotePrefix="1" applyFont="1" applyFill="1" applyBorder="1" applyAlignment="1">
      <alignment horizontal="center" vertical="center" wrapText="1"/>
    </xf>
    <xf numFmtId="9" fontId="2" fillId="0" borderId="60" xfId="27" quotePrefix="1" applyFont="1" applyFill="1" applyBorder="1" applyAlignment="1">
      <alignment horizontal="center" vertical="center" wrapText="1"/>
    </xf>
    <xf numFmtId="165" fontId="2" fillId="0" borderId="78" xfId="12" quotePrefix="1" applyNumberFormat="1" applyFont="1" applyFill="1" applyBorder="1" applyAlignment="1">
      <alignment horizontal="center" vertical="center" wrapText="1"/>
    </xf>
    <xf numFmtId="165" fontId="2" fillId="0" borderId="59" xfId="12" quotePrefix="1" applyNumberFormat="1" applyFont="1" applyFill="1" applyBorder="1" applyAlignment="1">
      <alignment horizontal="center" vertical="center" wrapText="1"/>
    </xf>
    <xf numFmtId="0" fontId="2" fillId="17" borderId="51" xfId="1" applyFont="1" applyFill="1" applyBorder="1" applyAlignment="1">
      <alignment horizontal="center" vertical="center" wrapText="1"/>
    </xf>
    <xf numFmtId="0" fontId="2" fillId="17" borderId="42" xfId="1" applyFont="1" applyFill="1" applyBorder="1" applyAlignment="1">
      <alignment horizontal="center" vertical="center" wrapText="1"/>
    </xf>
    <xf numFmtId="0" fontId="2" fillId="0" borderId="80" xfId="1" applyFont="1" applyBorder="1" applyAlignment="1">
      <alignment horizontal="center" vertical="center" wrapText="1"/>
    </xf>
    <xf numFmtId="0" fontId="2" fillId="0" borderId="60" xfId="1" applyFont="1" applyBorder="1" applyAlignment="1">
      <alignment horizontal="center" vertical="center" wrapText="1"/>
    </xf>
    <xf numFmtId="0" fontId="2" fillId="0" borderId="78" xfId="1" applyFont="1" applyBorder="1" applyAlignment="1">
      <alignment horizontal="center" vertical="center" wrapText="1"/>
    </xf>
    <xf numFmtId="0" fontId="2" fillId="0" borderId="59" xfId="1" applyFont="1" applyBorder="1" applyAlignment="1">
      <alignment horizontal="center" vertical="center" wrapText="1"/>
    </xf>
    <xf numFmtId="0" fontId="2" fillId="6" borderId="78" xfId="1" applyFont="1" applyFill="1" applyBorder="1" applyAlignment="1">
      <alignment horizontal="center" vertical="center"/>
    </xf>
    <xf numFmtId="0" fontId="2" fillId="6" borderId="59" xfId="1" applyFont="1" applyFill="1" applyBorder="1" applyAlignment="1">
      <alignment horizontal="center" vertical="center"/>
    </xf>
    <xf numFmtId="0" fontId="2" fillId="17" borderId="78" xfId="1" applyFont="1" applyFill="1" applyBorder="1" applyAlignment="1">
      <alignment horizontal="center" vertical="center" wrapText="1"/>
    </xf>
    <xf numFmtId="0" fontId="2" fillId="17" borderId="59" xfId="1" applyFont="1" applyFill="1" applyBorder="1" applyAlignment="1">
      <alignment horizontal="center" vertical="center" wrapText="1"/>
    </xf>
    <xf numFmtId="0" fontId="2" fillId="0" borderId="74" xfId="1" applyFont="1" applyBorder="1" applyAlignment="1">
      <alignment horizontal="center" vertical="center" wrapText="1"/>
    </xf>
    <xf numFmtId="0" fontId="2" fillId="0" borderId="62" xfId="1" applyFont="1" applyBorder="1" applyAlignment="1">
      <alignment horizontal="center" vertical="center" wrapText="1"/>
    </xf>
    <xf numFmtId="0" fontId="2" fillId="0" borderId="61" xfId="1" applyFont="1" applyBorder="1" applyAlignment="1">
      <alignment horizontal="center" vertical="center" wrapText="1"/>
    </xf>
    <xf numFmtId="165" fontId="2" fillId="0" borderId="80" xfId="12" quotePrefix="1" applyNumberFormat="1" applyFont="1" applyFill="1" applyBorder="1" applyAlignment="1">
      <alignment horizontal="center" vertical="center" wrapText="1"/>
    </xf>
    <xf numFmtId="165" fontId="2" fillId="0" borderId="60" xfId="12" quotePrefix="1" applyNumberFormat="1" applyFont="1" applyFill="1" applyBorder="1" applyAlignment="1">
      <alignment horizontal="center" vertical="center" wrapText="1"/>
    </xf>
    <xf numFmtId="9" fontId="2" fillId="0" borderId="78" xfId="27" applyFont="1" applyBorder="1" applyAlignment="1">
      <alignment horizontal="center" vertical="center" wrapText="1"/>
    </xf>
    <xf numFmtId="9" fontId="2" fillId="0" borderId="59" xfId="27" applyFont="1" applyBorder="1" applyAlignment="1">
      <alignment horizontal="center" vertical="center"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39" xfId="1" applyFont="1" applyBorder="1" applyAlignment="1">
      <alignment horizontal="center" vertical="center" wrapText="1"/>
    </xf>
    <xf numFmtId="165" fontId="4" fillId="17" borderId="1" xfId="12" applyNumberFormat="1" applyFont="1" applyFill="1" applyBorder="1" applyAlignment="1">
      <alignment horizontal="center" vertical="center" wrapText="1"/>
    </xf>
    <xf numFmtId="165" fontId="4" fillId="17" borderId="13" xfId="12" applyNumberFormat="1" applyFont="1" applyFill="1" applyBorder="1" applyAlignment="1">
      <alignment horizontal="center" vertical="center" wrapText="1"/>
    </xf>
    <xf numFmtId="165" fontId="4" fillId="17" borderId="39" xfId="12" applyNumberFormat="1" applyFont="1" applyFill="1" applyBorder="1" applyAlignment="1">
      <alignment horizontal="center" vertical="center" wrapText="1"/>
    </xf>
    <xf numFmtId="165" fontId="2" fillId="0" borderId="80" xfId="12" applyNumberFormat="1" applyFont="1" applyFill="1" applyBorder="1" applyAlignment="1">
      <alignment horizontal="center" vertical="center" wrapText="1"/>
    </xf>
    <xf numFmtId="0" fontId="2" fillId="0" borderId="10" xfId="1" applyFill="1" applyBorder="1" applyAlignment="1">
      <alignment horizontal="left"/>
    </xf>
    <xf numFmtId="0" fontId="2" fillId="0" borderId="88" xfId="1" applyFill="1" applyBorder="1" applyAlignment="1">
      <alignment horizontal="left"/>
    </xf>
    <xf numFmtId="0" fontId="7" fillId="2" borderId="0" xfId="1" applyFont="1" applyFill="1" applyBorder="1" applyAlignment="1">
      <alignment horizontal="center"/>
    </xf>
    <xf numFmtId="0" fontId="38" fillId="2" borderId="0" xfId="1" applyFont="1" applyFill="1" applyBorder="1" applyAlignment="1">
      <alignment horizontal="left"/>
    </xf>
    <xf numFmtId="0" fontId="38" fillId="21" borderId="79" xfId="1" applyFont="1" applyFill="1" applyBorder="1" applyAlignment="1">
      <alignment horizontal="center" vertical="center"/>
    </xf>
    <xf numFmtId="0" fontId="38" fillId="21" borderId="24" xfId="1" applyFont="1" applyFill="1" applyBorder="1" applyAlignment="1">
      <alignment horizontal="center" vertical="center"/>
    </xf>
    <xf numFmtId="0" fontId="38" fillId="21" borderId="83" xfId="1" applyFont="1" applyFill="1" applyBorder="1" applyAlignment="1">
      <alignment horizontal="center" vertical="center"/>
    </xf>
    <xf numFmtId="0" fontId="7" fillId="0" borderId="10" xfId="1" applyFont="1" applyFill="1" applyBorder="1" applyAlignment="1">
      <alignment horizontal="left"/>
    </xf>
    <xf numFmtId="0" fontId="7" fillId="0" borderId="7" xfId="1" applyFont="1" applyFill="1" applyBorder="1" applyAlignment="1">
      <alignment horizontal="left"/>
    </xf>
    <xf numFmtId="0" fontId="76" fillId="21" borderId="17" xfId="1" applyFont="1" applyFill="1" applyBorder="1" applyAlignment="1">
      <alignment horizontal="center"/>
    </xf>
    <xf numFmtId="0" fontId="76" fillId="21" borderId="57" xfId="1" applyFont="1" applyFill="1" applyBorder="1" applyAlignment="1">
      <alignment horizontal="center"/>
    </xf>
    <xf numFmtId="0" fontId="76" fillId="21" borderId="93" xfId="1" applyFont="1" applyFill="1" applyBorder="1" applyAlignment="1">
      <alignment horizontal="center"/>
    </xf>
    <xf numFmtId="0" fontId="6" fillId="20" borderId="10" xfId="1" applyFont="1" applyFill="1" applyBorder="1" applyAlignment="1">
      <alignment horizontal="left"/>
    </xf>
    <xf numFmtId="0" fontId="6" fillId="20" borderId="7" xfId="1" applyFont="1" applyFill="1" applyBorder="1" applyAlignment="1">
      <alignment horizontal="left"/>
    </xf>
    <xf numFmtId="0" fontId="3" fillId="0" borderId="10" xfId="1" applyFont="1" applyFill="1" applyBorder="1" applyAlignment="1">
      <alignment horizontal="left" vertical="center"/>
    </xf>
    <xf numFmtId="0" fontId="3" fillId="0" borderId="7" xfId="1" applyFont="1" applyFill="1" applyBorder="1" applyAlignment="1">
      <alignment horizontal="left" vertical="center"/>
    </xf>
    <xf numFmtId="0" fontId="70" fillId="21" borderId="4" xfId="1" applyFont="1" applyFill="1" applyBorder="1" applyAlignment="1">
      <alignment horizontal="left" vertical="center"/>
    </xf>
    <xf numFmtId="0" fontId="70" fillId="21" borderId="10" xfId="1" applyFont="1" applyFill="1" applyBorder="1" applyAlignment="1">
      <alignment horizontal="left" vertical="center"/>
    </xf>
    <xf numFmtId="0" fontId="70" fillId="21" borderId="88" xfId="1" applyFont="1" applyFill="1" applyBorder="1" applyAlignment="1">
      <alignment horizontal="left" vertical="center"/>
    </xf>
    <xf numFmtId="49" fontId="6" fillId="2" borderId="15" xfId="1" applyNumberFormat="1" applyFont="1" applyFill="1" applyBorder="1" applyAlignment="1">
      <alignment horizontal="center"/>
    </xf>
    <xf numFmtId="49" fontId="6" fillId="2" borderId="12" xfId="1" applyNumberFormat="1" applyFont="1" applyFill="1" applyBorder="1" applyAlignment="1">
      <alignment horizontal="center"/>
    </xf>
    <xf numFmtId="0" fontId="55" fillId="2" borderId="57" xfId="1" applyFont="1" applyFill="1" applyBorder="1" applyAlignment="1">
      <alignment horizontal="left"/>
    </xf>
    <xf numFmtId="0" fontId="2" fillId="19" borderId="85" xfId="1" applyFill="1" applyBorder="1" applyAlignment="1">
      <alignment horizontal="center"/>
    </xf>
    <xf numFmtId="0" fontId="2" fillId="19" borderId="23" xfId="1" applyFill="1" applyBorder="1" applyAlignment="1">
      <alignment horizontal="center"/>
    </xf>
    <xf numFmtId="0" fontId="2" fillId="19" borderId="84" xfId="1" applyFill="1" applyBorder="1" applyAlignment="1">
      <alignment horizontal="center"/>
    </xf>
    <xf numFmtId="49" fontId="6" fillId="0" borderId="7" xfId="1" applyNumberFormat="1" applyFont="1" applyBorder="1" applyAlignment="1">
      <alignment horizontal="left" indent="1"/>
    </xf>
    <xf numFmtId="49" fontId="6" fillId="0" borderId="3" xfId="1" applyNumberFormat="1" applyFont="1" applyBorder="1" applyAlignment="1">
      <alignment horizontal="left" indent="1"/>
    </xf>
    <xf numFmtId="0" fontId="64" fillId="19" borderId="4" xfId="1" applyFont="1" applyFill="1" applyBorder="1" applyAlignment="1">
      <alignment horizontal="right"/>
    </xf>
    <xf numFmtId="0" fontId="64" fillId="19" borderId="10" xfId="1" applyFont="1" applyFill="1" applyBorder="1" applyAlignment="1">
      <alignment horizontal="right"/>
    </xf>
    <xf numFmtId="0" fontId="64" fillId="19" borderId="7" xfId="1" applyFont="1" applyFill="1" applyBorder="1" applyAlignment="1">
      <alignment horizontal="right"/>
    </xf>
    <xf numFmtId="49" fontId="6" fillId="2" borderId="3" xfId="1" applyNumberFormat="1" applyFont="1" applyFill="1" applyBorder="1" applyAlignment="1">
      <alignment horizontal="center"/>
    </xf>
    <xf numFmtId="49" fontId="6" fillId="2" borderId="9" xfId="1" applyNumberFormat="1" applyFont="1" applyFill="1" applyBorder="1" applyAlignment="1">
      <alignment horizontal="center"/>
    </xf>
    <xf numFmtId="173" fontId="55" fillId="2" borderId="57" xfId="1" applyNumberFormat="1" applyFont="1" applyFill="1" applyBorder="1" applyAlignment="1">
      <alignment horizontal="left"/>
    </xf>
    <xf numFmtId="49" fontId="6" fillId="0" borderId="73" xfId="1" applyNumberFormat="1" applyFont="1" applyBorder="1" applyAlignment="1">
      <alignment horizontal="left" indent="1"/>
    </xf>
    <xf numFmtId="49" fontId="6" fillId="0" borderId="15" xfId="1" applyNumberFormat="1" applyFont="1" applyBorder="1" applyAlignment="1">
      <alignment horizontal="left" indent="1"/>
    </xf>
    <xf numFmtId="0" fontId="64" fillId="19" borderId="14" xfId="1" applyFont="1" applyFill="1" applyBorder="1" applyAlignment="1">
      <alignment horizontal="right"/>
    </xf>
    <xf numFmtId="0" fontId="64" fillId="19" borderId="72" xfId="1" applyFont="1" applyFill="1" applyBorder="1" applyAlignment="1">
      <alignment horizontal="right"/>
    </xf>
    <xf numFmtId="0" fontId="64" fillId="19" borderId="73" xfId="1" applyFont="1" applyFill="1" applyBorder="1" applyAlignment="1">
      <alignment horizontal="right"/>
    </xf>
    <xf numFmtId="0" fontId="55" fillId="2" borderId="0" xfId="1" applyFont="1" applyFill="1" applyBorder="1" applyAlignment="1">
      <alignment horizontal="left"/>
    </xf>
    <xf numFmtId="173" fontId="55" fillId="2" borderId="0" xfId="1" applyNumberFormat="1" applyFont="1" applyFill="1" applyBorder="1" applyAlignment="1">
      <alignment horizontal="left"/>
    </xf>
    <xf numFmtId="170" fontId="2" fillId="18" borderId="0" xfId="18" applyNumberFormat="1" applyFont="1" applyFill="1" applyBorder="1" applyAlignment="1">
      <alignment wrapText="1"/>
    </xf>
    <xf numFmtId="0" fontId="0" fillId="0" borderId="0" xfId="0" applyAlignment="1"/>
    <xf numFmtId="170" fontId="2" fillId="2" borderId="0" xfId="18" applyNumberFormat="1" applyFont="1" applyFill="1" applyBorder="1" applyAlignment="1">
      <alignment horizontal="left" wrapText="1"/>
    </xf>
    <xf numFmtId="37" fontId="2" fillId="18" borderId="0" xfId="32" applyNumberFormat="1" applyFont="1" applyFill="1" applyAlignment="1" applyProtection="1">
      <alignment horizontal="left" wrapText="1"/>
    </xf>
    <xf numFmtId="37" fontId="2" fillId="0" borderId="0" xfId="32" quotePrefix="1" applyNumberFormat="1" applyFont="1" applyFill="1" applyAlignment="1">
      <alignment horizontal="left" wrapText="1"/>
    </xf>
    <xf numFmtId="37" fontId="2" fillId="18" borderId="0" xfId="1" applyNumberFormat="1" applyFont="1" applyFill="1" applyAlignment="1">
      <alignment horizontal="left" wrapText="1"/>
    </xf>
    <xf numFmtId="0" fontId="27" fillId="2" borderId="0" xfId="17" applyFont="1" applyFill="1" applyBorder="1" applyAlignment="1">
      <alignment horizontal="left" wrapText="1"/>
    </xf>
    <xf numFmtId="0" fontId="27" fillId="18" borderId="0" xfId="17" applyFont="1" applyFill="1" applyBorder="1" applyAlignment="1">
      <alignment horizontal="left" wrapText="1"/>
    </xf>
    <xf numFmtId="0" fontId="25" fillId="18" borderId="0" xfId="17" applyFont="1" applyFill="1" applyBorder="1" applyAlignment="1">
      <alignment horizontal="left" wrapText="1"/>
    </xf>
    <xf numFmtId="37" fontId="2" fillId="2" borderId="3" xfId="31" applyNumberFormat="1" applyFont="1" applyFill="1" applyBorder="1" applyAlignment="1">
      <alignment horizontal="center" wrapText="1"/>
    </xf>
    <xf numFmtId="0" fontId="27" fillId="2" borderId="0" xfId="17" applyFont="1" applyFill="1" applyBorder="1" applyAlignment="1">
      <alignment horizontal="left"/>
    </xf>
    <xf numFmtId="0" fontId="25" fillId="2" borderId="0" xfId="17" applyFont="1" applyFill="1" applyBorder="1" applyAlignment="1">
      <alignment horizontal="left" wrapText="1"/>
    </xf>
    <xf numFmtId="0" fontId="25" fillId="18" borderId="0" xfId="17" applyFont="1" applyFill="1" applyAlignment="1">
      <alignment horizontal="left" vertical="top" wrapText="1"/>
    </xf>
    <xf numFmtId="0" fontId="0" fillId="0" borderId="0" xfId="0" applyAlignment="1">
      <alignment vertical="top"/>
    </xf>
    <xf numFmtId="37" fontId="2" fillId="2" borderId="28" xfId="31" applyNumberFormat="1" applyFont="1" applyFill="1" applyBorder="1" applyAlignment="1">
      <alignment horizontal="center"/>
    </xf>
    <xf numFmtId="37" fontId="2" fillId="2" borderId="17" xfId="31" applyNumberFormat="1" applyFont="1" applyFill="1" applyBorder="1" applyAlignment="1">
      <alignment horizontal="center"/>
    </xf>
    <xf numFmtId="37" fontId="2" fillId="2" borderId="3" xfId="31" applyNumberFormat="1" applyFont="1" applyFill="1" applyBorder="1" applyAlignment="1">
      <alignment horizontal="center"/>
    </xf>
    <xf numFmtId="0" fontId="25" fillId="18" borderId="0" xfId="17" applyFont="1" applyFill="1" applyAlignment="1">
      <alignment horizontal="left" wrapText="1"/>
    </xf>
    <xf numFmtId="49" fontId="28" fillId="18" borderId="3" xfId="1" applyNumberFormat="1" applyFont="1" applyFill="1" applyBorder="1" applyAlignment="1">
      <alignment horizontal="left" wrapText="1"/>
    </xf>
    <xf numFmtId="37" fontId="26" fillId="18" borderId="4" xfId="31" applyNumberFormat="1" applyFont="1" applyFill="1" applyBorder="1" applyAlignment="1">
      <alignment horizontal="left" vertical="center"/>
    </xf>
    <xf numFmtId="37" fontId="26" fillId="18" borderId="10" xfId="31" applyNumberFormat="1" applyFont="1" applyFill="1" applyBorder="1" applyAlignment="1">
      <alignment horizontal="left" vertical="center"/>
    </xf>
    <xf numFmtId="37" fontId="26" fillId="18" borderId="7" xfId="31" applyNumberFormat="1" applyFont="1" applyFill="1" applyBorder="1" applyAlignment="1">
      <alignment horizontal="left" vertical="center"/>
    </xf>
    <xf numFmtId="37" fontId="2" fillId="2" borderId="28" xfId="1" applyNumberFormat="1" applyFont="1" applyFill="1" applyBorder="1" applyAlignment="1">
      <alignment horizontal="left" vertical="center" wrapText="1"/>
    </xf>
    <xf numFmtId="37" fontId="2" fillId="2" borderId="23" xfId="1" applyNumberFormat="1" applyFont="1" applyFill="1" applyBorder="1" applyAlignment="1">
      <alignment horizontal="left" vertical="center" wrapText="1"/>
    </xf>
    <xf numFmtId="37" fontId="2" fillId="2" borderId="37" xfId="1" applyNumberFormat="1" applyFont="1" applyFill="1" applyBorder="1" applyAlignment="1">
      <alignment horizontal="left" vertical="center" wrapText="1"/>
    </xf>
    <xf numFmtId="37" fontId="2" fillId="2" borderId="17" xfId="1" applyNumberFormat="1" applyFont="1" applyFill="1" applyBorder="1" applyAlignment="1">
      <alignment horizontal="left" vertical="center" wrapText="1"/>
    </xf>
    <xf numFmtId="37" fontId="2" fillId="2" borderId="57" xfId="1" applyNumberFormat="1" applyFont="1" applyFill="1" applyBorder="1" applyAlignment="1">
      <alignment horizontal="left" vertical="center" wrapText="1"/>
    </xf>
    <xf numFmtId="37" fontId="2" fillId="2" borderId="82" xfId="1" applyNumberFormat="1" applyFont="1" applyFill="1" applyBorder="1" applyAlignment="1">
      <alignment horizontal="left" vertical="center" wrapText="1"/>
    </xf>
    <xf numFmtId="37" fontId="2" fillId="18" borderId="28" xfId="1" applyNumberFormat="1" applyFont="1" applyFill="1" applyBorder="1" applyAlignment="1">
      <alignment horizontal="center" wrapText="1"/>
    </xf>
    <xf numFmtId="37" fontId="2" fillId="18" borderId="23" xfId="1" applyNumberFormat="1" applyFont="1" applyFill="1" applyBorder="1" applyAlignment="1">
      <alignment horizontal="center" wrapText="1"/>
    </xf>
    <xf numFmtId="37" fontId="2" fillId="18" borderId="37" xfId="1" applyNumberFormat="1" applyFont="1" applyFill="1" applyBorder="1" applyAlignment="1">
      <alignment horizontal="center" wrapText="1"/>
    </xf>
    <xf numFmtId="37" fontId="2" fillId="18" borderId="17" xfId="1" applyNumberFormat="1" applyFont="1" applyFill="1" applyBorder="1" applyAlignment="1">
      <alignment horizontal="center" wrapText="1"/>
    </xf>
    <xf numFmtId="37" fontId="2" fillId="18" borderId="57" xfId="1" applyNumberFormat="1" applyFont="1" applyFill="1" applyBorder="1" applyAlignment="1">
      <alignment horizontal="center" wrapText="1"/>
    </xf>
    <xf numFmtId="37" fontId="2" fillId="18" borderId="82" xfId="1" applyNumberFormat="1" applyFont="1" applyFill="1" applyBorder="1" applyAlignment="1">
      <alignment horizontal="center" wrapText="1"/>
    </xf>
    <xf numFmtId="37" fontId="2" fillId="18" borderId="3" xfId="31" applyNumberFormat="1" applyFont="1" applyFill="1" applyBorder="1" applyAlignment="1">
      <alignment horizontal="left" wrapText="1"/>
    </xf>
    <xf numFmtId="37" fontId="2" fillId="18" borderId="4" xfId="31" applyNumberFormat="1" applyFont="1" applyFill="1" applyBorder="1" applyAlignment="1">
      <alignment horizontal="center"/>
    </xf>
    <xf numFmtId="37" fontId="2" fillId="18" borderId="7" xfId="31" applyNumberFormat="1" applyFont="1" applyFill="1" applyBorder="1" applyAlignment="1">
      <alignment horizontal="center"/>
    </xf>
    <xf numFmtId="37" fontId="2" fillId="18" borderId="0" xfId="31" applyNumberFormat="1" applyFont="1" applyFill="1" applyAlignment="1" applyProtection="1">
      <alignment horizontal="left" wrapText="1"/>
    </xf>
    <xf numFmtId="37" fontId="2" fillId="18" borderId="0" xfId="31" applyNumberFormat="1" applyFont="1" applyFill="1" applyAlignment="1">
      <alignment horizontal="left" wrapText="1"/>
    </xf>
    <xf numFmtId="2" fontId="0" fillId="0" borderId="0" xfId="18" applyNumberFormat="1" applyFont="1" applyFill="1" applyAlignment="1">
      <alignment horizontal="left" wrapText="1"/>
    </xf>
    <xf numFmtId="2" fontId="2" fillId="0" borderId="0" xfId="18" applyNumberFormat="1" applyFont="1" applyFill="1" applyAlignment="1">
      <alignment horizontal="left" wrapText="1"/>
    </xf>
  </cellXfs>
  <cellStyles count="301">
    <cellStyle name="20% - Accent1" xfId="58" builtinId="30" customBuiltin="1"/>
    <cellStyle name="20% - Accent1 2" xfId="81"/>
    <cellStyle name="20% - Accent1 2 2" xfId="182"/>
    <cellStyle name="20% - Accent1 2 3" xfId="275"/>
    <cellStyle name="20% - Accent2" xfId="62" builtinId="34" customBuiltin="1"/>
    <cellStyle name="20% - Accent2 2" xfId="82"/>
    <cellStyle name="20% - Accent2 2 2" xfId="184"/>
    <cellStyle name="20% - Accent2 2 3" xfId="276"/>
    <cellStyle name="20% - Accent3" xfId="66" builtinId="38" customBuiltin="1"/>
    <cellStyle name="20% - Accent3 2" xfId="83"/>
    <cellStyle name="20% - Accent3 2 2" xfId="186"/>
    <cellStyle name="20% - Accent3 2 3" xfId="277"/>
    <cellStyle name="20% - Accent4" xfId="70" builtinId="42" customBuiltin="1"/>
    <cellStyle name="20% - Accent4 2" xfId="84"/>
    <cellStyle name="20% - Accent4 2 2" xfId="188"/>
    <cellStyle name="20% - Accent4 2 3" xfId="278"/>
    <cellStyle name="20% - Accent5" xfId="74" builtinId="46" customBuiltin="1"/>
    <cellStyle name="20% - Accent5 2" xfId="85"/>
    <cellStyle name="20% - Accent5 2 2" xfId="190"/>
    <cellStyle name="20% - Accent5 2 3" xfId="279"/>
    <cellStyle name="20% - Accent6" xfId="78" builtinId="50" customBuiltin="1"/>
    <cellStyle name="20% - Accent6 2" xfId="86"/>
    <cellStyle name="20% - Accent6 2 2" xfId="192"/>
    <cellStyle name="20% - Accent6 2 3" xfId="280"/>
    <cellStyle name="40% - Accent1" xfId="59" builtinId="31" customBuiltin="1"/>
    <cellStyle name="40% - Accent1 2" xfId="87"/>
    <cellStyle name="40% - Accent1 2 2" xfId="183"/>
    <cellStyle name="40% - Accent1 2 3" xfId="281"/>
    <cellStyle name="40% - Accent2" xfId="63" builtinId="35" customBuiltin="1"/>
    <cellStyle name="40% - Accent2 2" xfId="88"/>
    <cellStyle name="40% - Accent2 2 2" xfId="185"/>
    <cellStyle name="40% - Accent2 2 3" xfId="282"/>
    <cellStyle name="40% - Accent3" xfId="67" builtinId="39" customBuiltin="1"/>
    <cellStyle name="40% - Accent3 2" xfId="89"/>
    <cellStyle name="40% - Accent3 2 2" xfId="187"/>
    <cellStyle name="40% - Accent3 2 3" xfId="283"/>
    <cellStyle name="40% - Accent4" xfId="71" builtinId="43" customBuiltin="1"/>
    <cellStyle name="40% - Accent4 2" xfId="90"/>
    <cellStyle name="40% - Accent4 2 2" xfId="189"/>
    <cellStyle name="40% - Accent4 2 3" xfId="284"/>
    <cellStyle name="40% - Accent5" xfId="75" builtinId="47" customBuiltin="1"/>
    <cellStyle name="40% - Accent5 2" xfId="91"/>
    <cellStyle name="40% - Accent5 2 2" xfId="191"/>
    <cellStyle name="40% - Accent5 2 3" xfId="285"/>
    <cellStyle name="40% - Accent6" xfId="79" builtinId="51" customBuiltin="1"/>
    <cellStyle name="40% - Accent6 2" xfId="92"/>
    <cellStyle name="40% - Accent6 2 2" xfId="193"/>
    <cellStyle name="40% - Accent6 2 3" xfId="286"/>
    <cellStyle name="60% - Accent1" xfId="60" builtinId="32" customBuiltin="1"/>
    <cellStyle name="60% - Accent1 2" xfId="93"/>
    <cellStyle name="60% - Accent2" xfId="64" builtinId="36" customBuiltin="1"/>
    <cellStyle name="60% - Accent2 2" xfId="94"/>
    <cellStyle name="60% - Accent3" xfId="68" builtinId="40" customBuiltin="1"/>
    <cellStyle name="60% - Accent3 2" xfId="95"/>
    <cellStyle name="60% - Accent4" xfId="72" builtinId="44" customBuiltin="1"/>
    <cellStyle name="60% - Accent4 2" xfId="96"/>
    <cellStyle name="60% - Accent5" xfId="76" builtinId="48" customBuiltin="1"/>
    <cellStyle name="60% - Accent5 2" xfId="97"/>
    <cellStyle name="60% - Accent6" xfId="80" builtinId="52" customBuiltin="1"/>
    <cellStyle name="60% - Accent6 2" xfId="98"/>
    <cellStyle name="Accent1" xfId="57" builtinId="29" customBuiltin="1"/>
    <cellStyle name="Accent1 2" xfId="99"/>
    <cellStyle name="Accent2" xfId="61" builtinId="33" customBuiltin="1"/>
    <cellStyle name="Accent2 2" xfId="100"/>
    <cellStyle name="Accent3" xfId="65" builtinId="37" customBuiltin="1"/>
    <cellStyle name="Accent3 2" xfId="101"/>
    <cellStyle name="Accent4" xfId="69" builtinId="41" customBuiltin="1"/>
    <cellStyle name="Accent4 2" xfId="102"/>
    <cellStyle name="Accent5" xfId="73" builtinId="45" customBuiltin="1"/>
    <cellStyle name="Accent5 2" xfId="103"/>
    <cellStyle name="Accent6" xfId="77" builtinId="49" customBuiltin="1"/>
    <cellStyle name="Accent6 2" xfId="104"/>
    <cellStyle name="Bad" xfId="46" builtinId="27" customBuiltin="1"/>
    <cellStyle name="Bad 2" xfId="105"/>
    <cellStyle name="Calculation" xfId="50" builtinId="22" customBuiltin="1"/>
    <cellStyle name="Calculation 2" xfId="106"/>
    <cellStyle name="Check Cell" xfId="52" builtinId="23" customBuiltin="1"/>
    <cellStyle name="Check Cell 2" xfId="107"/>
    <cellStyle name="Comma 2" xfId="3"/>
    <cellStyle name="Comma 2 2" xfId="109"/>
    <cellStyle name="Comma 2 2 2" xfId="254"/>
    <cellStyle name="Comma 2 3" xfId="149"/>
    <cellStyle name="Comma 2 4" xfId="232"/>
    <cellStyle name="Comma 3" xfId="4"/>
    <cellStyle name="Comma 3 2" xfId="110"/>
    <cellStyle name="Comma 3 2 2" xfId="215"/>
    <cellStyle name="Comma 3 3" xfId="227"/>
    <cellStyle name="Comma 4" xfId="5"/>
    <cellStyle name="Comma 4 2" xfId="6"/>
    <cellStyle name="Comma 4 2 2" xfId="7"/>
    <cellStyle name="Comma 4 2 3" xfId="289"/>
    <cellStyle name="Comma 4 3" xfId="2"/>
    <cellStyle name="Comma 4 3 2" xfId="8"/>
    <cellStyle name="Comma 4 3 2 2" xfId="237"/>
    <cellStyle name="Comma 4 3 3" xfId="219"/>
    <cellStyle name="Comma 4 4" xfId="131"/>
    <cellStyle name="Comma 4 4 2" xfId="252"/>
    <cellStyle name="Comma 4 5" xfId="242"/>
    <cellStyle name="Comma 5" xfId="108"/>
    <cellStyle name="Comma 5 2" xfId="223"/>
    <cellStyle name="Comma 6" xfId="136"/>
    <cellStyle name="Currency" xfId="28" builtinId="4"/>
    <cellStyle name="Currency 2" xfId="9"/>
    <cellStyle name="Currency 2 2" xfId="111"/>
    <cellStyle name="Currency 2 2 2" xfId="201"/>
    <cellStyle name="Currency 2 2 2 2" xfId="261"/>
    <cellStyle name="Currency 2 2 2 3" xfId="225"/>
    <cellStyle name="Currency 2 2 3" xfId="168"/>
    <cellStyle name="Currency 2 2 4" xfId="287"/>
    <cellStyle name="Currency 2 3" xfId="163"/>
    <cellStyle name="Currency 2 3 2" xfId="218"/>
    <cellStyle name="Currency 2 3 3" xfId="243"/>
    <cellStyle name="Currency 2 4" xfId="157"/>
    <cellStyle name="Currency 2 5" xfId="210"/>
    <cellStyle name="Currency 2 6" xfId="241"/>
    <cellStyle name="Currency 3" xfId="10"/>
    <cellStyle name="Currency 3 2" xfId="112"/>
    <cellStyle name="Currency 3 2 2" xfId="249"/>
    <cellStyle name="Currency 3 3" xfId="257"/>
    <cellStyle name="Currency 4" xfId="11"/>
    <cellStyle name="Currency 4 2" xfId="12"/>
    <cellStyle name="Currency 4 2 2" xfId="13"/>
    <cellStyle name="Currency 4 2 2 2" xfId="221"/>
    <cellStyle name="Currency 4 2 3" xfId="240"/>
    <cellStyle name="Currency 4 3" xfId="113"/>
    <cellStyle name="Currency 4 3 2" xfId="255"/>
    <cellStyle name="Currency 4 4" xfId="235"/>
    <cellStyle name="Currency 5" xfId="14"/>
    <cellStyle name="Currency 5 2" xfId="132"/>
    <cellStyle name="Currency 5 2 2" xfId="259"/>
    <cellStyle name="Currency 5 3" xfId="224"/>
    <cellStyle name="Currency 6" xfId="15"/>
    <cellStyle name="Currency 6 2" xfId="133"/>
    <cellStyle name="Currency 6 2 2" xfId="217"/>
    <cellStyle name="Currency 6 3" xfId="229"/>
    <cellStyle name="Currency 7" xfId="137"/>
    <cellStyle name="Currency 7 2" xfId="256"/>
    <cellStyle name="Currency 7 3" xfId="214"/>
    <cellStyle name="Explanatory Text" xfId="55" builtinId="53" customBuiltin="1"/>
    <cellStyle name="Explanatory Text 2" xfId="114"/>
    <cellStyle name="Good" xfId="45" builtinId="26" customBuiltin="1"/>
    <cellStyle name="Good 2" xfId="115"/>
    <cellStyle name="Heading 1" xfId="41" builtinId="16" customBuiltin="1"/>
    <cellStyle name="Heading 1 2" xfId="116"/>
    <cellStyle name="Heading 2" xfId="42" builtinId="17" customBuiltin="1"/>
    <cellStyle name="Heading 2 2" xfId="117"/>
    <cellStyle name="Heading 3" xfId="43" builtinId="18" customBuiltin="1"/>
    <cellStyle name="Heading 3 2" xfId="118"/>
    <cellStyle name="Heading 4" xfId="44" builtinId="19" customBuiltin="1"/>
    <cellStyle name="Heading 4 2" xfId="119"/>
    <cellStyle name="Hyperlink" xfId="34" builtinId="8"/>
    <cellStyle name="Hyperlink 2" xfId="16"/>
    <cellStyle name="Hyperlink 2 2" xfId="144"/>
    <cellStyle name="Hyperlink 2 3" xfId="272"/>
    <cellStyle name="Hyperlink 3" xfId="266"/>
    <cellStyle name="Input" xfId="48" builtinId="20" customBuiltin="1"/>
    <cellStyle name="Input 2" xfId="120"/>
    <cellStyle name="Linked Cell" xfId="51" builtinId="24" customBuiltin="1"/>
    <cellStyle name="Linked Cell 2" xfId="121"/>
    <cellStyle name="Neutral" xfId="47" builtinId="28" customBuiltin="1"/>
    <cellStyle name="Neutral 2" xfId="122"/>
    <cellStyle name="Normal" xfId="0" builtinId="0"/>
    <cellStyle name="Normal 10" xfId="140"/>
    <cellStyle name="Normal 10 2" xfId="204"/>
    <cellStyle name="Normal 10 3" xfId="172"/>
    <cellStyle name="Normal 10 4" xfId="296"/>
    <cellStyle name="Normal 11" xfId="160"/>
    <cellStyle name="Normal 11 2" xfId="179"/>
    <cellStyle name="Normal 11 3" xfId="206"/>
    <cellStyle name="Normal 11 3 2" xfId="209"/>
    <cellStyle name="Normal 11 3 3" xfId="213"/>
    <cellStyle name="Normal 11 3 3 2" xfId="263"/>
    <cellStyle name="Normal 11 3 4" xfId="269"/>
    <cellStyle name="Normal 11 3 4 2" xfId="271"/>
    <cellStyle name="Normal 11_NOV 2013 (Revised)" xfId="174"/>
    <cellStyle name="Normal 12" xfId="180"/>
    <cellStyle name="Normal 13" xfId="205"/>
    <cellStyle name="Normal 14" xfId="38"/>
    <cellStyle name="Normal 14 2" xfId="211"/>
    <cellStyle name="Normal 14 3" xfId="212"/>
    <cellStyle name="Normal 14 3 2" xfId="262"/>
    <cellStyle name="Normal 14 4" xfId="268"/>
    <cellStyle name="Normal 14 4 2" xfId="270"/>
    <cellStyle name="Normal 15" xfId="264"/>
    <cellStyle name="Normal 15 2" xfId="298"/>
    <cellStyle name="Normal 16" xfId="265"/>
    <cellStyle name="Normal 16 2" xfId="299"/>
    <cellStyle name="Normal 17" xfId="267"/>
    <cellStyle name="Normal 17 2" xfId="300"/>
    <cellStyle name="Normal 2" xfId="1"/>
    <cellStyle name="Normal 2 2" xfId="123"/>
    <cellStyle name="Normal 2 2 2" xfId="151"/>
    <cellStyle name="Normal 2 2 3" xfId="173"/>
    <cellStyle name="Normal 2 2 4" xfId="194"/>
    <cellStyle name="Normal 2 2 5" xfId="226"/>
    <cellStyle name="Normal 2 3" xfId="146"/>
    <cellStyle name="Normal 2 4" xfId="247"/>
    <cellStyle name="Normal 2_NOV 2013 (Revised)" xfId="175"/>
    <cellStyle name="Normal 3" xfId="17"/>
    <cellStyle name="Normal 3 2" xfId="18"/>
    <cellStyle name="Normal 3 2 2" xfId="164"/>
    <cellStyle name="Normal 3 2 3" xfId="195"/>
    <cellStyle name="Normal 3 2 4" xfId="152"/>
    <cellStyle name="Normal 3 2 5" xfId="290"/>
    <cellStyle name="Normal 3 3" xfId="158"/>
    <cellStyle name="Normal 3 4" xfId="147"/>
    <cellStyle name="Normal 3 5" xfId="141"/>
    <cellStyle name="Normal 3 5 2" xfId="233"/>
    <cellStyle name="Normal 3 5 3" xfId="297"/>
    <cellStyle name="Normal 3 6" xfId="273"/>
    <cellStyle name="Normal 3_NOV 2013 (Revised)" xfId="176"/>
    <cellStyle name="Normal 4" xfId="19"/>
    <cellStyle name="Normal 4 2" xfId="134"/>
    <cellStyle name="Normal 4 2 2" xfId="154"/>
    <cellStyle name="Normal 4 2 2 2" xfId="253"/>
    <cellStyle name="Normal 4 2 2 3" xfId="250"/>
    <cellStyle name="Normal 4 2 3" xfId="150"/>
    <cellStyle name="Normal 4 2 4" xfId="288"/>
    <cellStyle name="Normal 4 2_NOV 2013 (Revised)" xfId="177"/>
    <cellStyle name="Normal 4 3" xfId="145"/>
    <cellStyle name="Normal 4 3 2" xfId="260"/>
    <cellStyle name="Normal 4 3 3" xfId="236"/>
    <cellStyle name="Normal 4 4" xfId="143"/>
    <cellStyle name="Normal 4 5" xfId="274"/>
    <cellStyle name="Normal 5" xfId="20"/>
    <cellStyle name="Normal 5 2" xfId="153"/>
    <cellStyle name="Normal 5 2 2" xfId="165"/>
    <cellStyle name="Normal 5 2 3" xfId="196"/>
    <cellStyle name="Normal 5 2 4" xfId="245"/>
    <cellStyle name="Normal 5 2 5" xfId="239"/>
    <cellStyle name="Normal 5 3" xfId="155"/>
    <cellStyle name="Normal 5 4" xfId="161"/>
    <cellStyle name="Normal 5 5" xfId="148"/>
    <cellStyle name="Normal 5 6" xfId="208"/>
    <cellStyle name="Normal 5 7" xfId="220"/>
    <cellStyle name="Normal 5_NOV 2013 (Revised)" xfId="178"/>
    <cellStyle name="Normal 6" xfId="21"/>
    <cellStyle name="Normal 6 2" xfId="166"/>
    <cellStyle name="Normal 6 2 2" xfId="199"/>
    <cellStyle name="Normal 6 3" xfId="197"/>
    <cellStyle name="Normal 6 4" xfId="248"/>
    <cellStyle name="Normal 6 5" xfId="39"/>
    <cellStyle name="Normal 7" xfId="22"/>
    <cellStyle name="Normal 7 2" xfId="138"/>
    <cellStyle name="Normal 7 2 2" xfId="200"/>
    <cellStyle name="Normal 7 2 3" xfId="167"/>
    <cellStyle name="Normal 7 2 4" xfId="294"/>
    <cellStyle name="Normal 7 3" xfId="198"/>
    <cellStyle name="Normal 7 4" xfId="162"/>
    <cellStyle name="Normal 7 5" xfId="207"/>
    <cellStyle name="Normal 7 6" xfId="291"/>
    <cellStyle name="Normal 8" xfId="23"/>
    <cellStyle name="Normal 8 2" xfId="37"/>
    <cellStyle name="Normal 8 2 2" xfId="169"/>
    <cellStyle name="Normal 8 2 3" xfId="293"/>
    <cellStyle name="Normal 8 3" xfId="292"/>
    <cellStyle name="Normal 9" xfId="30"/>
    <cellStyle name="Normal 9 2" xfId="202"/>
    <cellStyle name="Normal 9 3" xfId="170"/>
    <cellStyle name="Normal 9 4" xfId="295"/>
    <cellStyle name="Normal 9 5" xfId="139"/>
    <cellStyle name="Normal_25 Van Ness Secuity" xfId="31"/>
    <cellStyle name="Normal_25 Van Ness Secuity 2" xfId="32"/>
    <cellStyle name="Normal_DPTparatransit0708stmt" xfId="33"/>
    <cellStyle name="Normal_Form 11A-Contracts Non-ICT" xfId="35"/>
    <cellStyle name="Normal_Worksheet - Form 2 2" xfId="29"/>
    <cellStyle name="Note" xfId="54" builtinId="10" customBuiltin="1"/>
    <cellStyle name="Note 2" xfId="36"/>
    <cellStyle name="Note 2 2" xfId="156"/>
    <cellStyle name="Note 2 3" xfId="238"/>
    <cellStyle name="Note 3" xfId="142"/>
    <cellStyle name="Note 3 2" xfId="159"/>
    <cellStyle name="Note 4" xfId="171"/>
    <cellStyle name="Note 4 2" xfId="203"/>
    <cellStyle name="Note 5" xfId="181"/>
    <cellStyle name="Output" xfId="49" builtinId="21" customBuiltin="1"/>
    <cellStyle name="Output 2" xfId="124"/>
    <cellStyle name="Percent 2" xfId="24"/>
    <cellStyle name="Percent 2 2" xfId="125"/>
    <cellStyle name="Percent 2 2 2" xfId="258"/>
    <cellStyle name="Percent 2 3" xfId="230"/>
    <cellStyle name="Percent 3" xfId="25"/>
    <cellStyle name="Percent 3 2" xfId="126"/>
    <cellStyle name="Percent 3 2 2" xfId="216"/>
    <cellStyle name="Percent 3 3" xfId="251"/>
    <cellStyle name="Percent 4" xfId="26"/>
    <cellStyle name="Percent 4 2" xfId="27"/>
    <cellStyle name="Percent 4 2 2" xfId="135"/>
    <cellStyle name="Percent 4 2 2 2" xfId="222"/>
    <cellStyle name="Percent 4 2 3" xfId="228"/>
    <cellStyle name="Percent 4 3" xfId="127"/>
    <cellStyle name="Percent 4 3 2" xfId="244"/>
    <cellStyle name="Percent 4 4" xfId="246"/>
    <cellStyle name="Percent 5" xfId="234"/>
    <cellStyle name="Percent 5 2" xfId="231"/>
    <cellStyle name="Title" xfId="40" builtinId="15" customBuiltin="1"/>
    <cellStyle name="Title 2" xfId="128"/>
    <cellStyle name="Total" xfId="56" builtinId="25" customBuiltin="1"/>
    <cellStyle name="Total 2" xfId="129"/>
    <cellStyle name="Warning Text" xfId="53" builtinId="11" customBuiltin="1"/>
    <cellStyle name="Warning Text 2" xfId="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9525</xdr:colOff>
      <xdr:row>0</xdr:row>
      <xdr:rowOff>28575</xdr:rowOff>
    </xdr:from>
    <xdr:to>
      <xdr:col>12</xdr:col>
      <xdr:colOff>227239</xdr:colOff>
      <xdr:row>2</xdr:row>
      <xdr:rowOff>114300</xdr:rowOff>
    </xdr:to>
    <xdr:sp macro="" textlink="">
      <xdr:nvSpPr>
        <xdr:cNvPr id="3" name="TextBox 2"/>
        <xdr:cNvSpPr txBox="1"/>
      </xdr:nvSpPr>
      <xdr:spPr>
        <a:xfrm>
          <a:off x="8829675" y="28575"/>
          <a:ext cx="3427639" cy="5429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85725</xdr:colOff>
      <xdr:row>0</xdr:row>
      <xdr:rowOff>76200</xdr:rowOff>
    </xdr:from>
    <xdr:to>
      <xdr:col>20</xdr:col>
      <xdr:colOff>142875</xdr:colOff>
      <xdr:row>2</xdr:row>
      <xdr:rowOff>190500</xdr:rowOff>
    </xdr:to>
    <xdr:sp macro="" textlink="">
      <xdr:nvSpPr>
        <xdr:cNvPr id="2" name="TextBox 1"/>
        <xdr:cNvSpPr txBox="1"/>
      </xdr:nvSpPr>
      <xdr:spPr>
        <a:xfrm>
          <a:off x="4000500" y="76200"/>
          <a:ext cx="2838450" cy="5238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95250</xdr:colOff>
      <xdr:row>2</xdr:row>
      <xdr:rowOff>42334</xdr:rowOff>
    </xdr:from>
    <xdr:to>
      <xdr:col>7</xdr:col>
      <xdr:colOff>38100</xdr:colOff>
      <xdr:row>9</xdr:row>
      <xdr:rowOff>10584</xdr:rowOff>
    </xdr:to>
    <xdr:sp macro="" textlink="">
      <xdr:nvSpPr>
        <xdr:cNvPr id="2" name="TextBox 1"/>
        <xdr:cNvSpPr txBox="1"/>
      </xdr:nvSpPr>
      <xdr:spPr>
        <a:xfrm>
          <a:off x="4487333" y="412751"/>
          <a:ext cx="2133600" cy="11747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1">
              <a:solidFill>
                <a:schemeClr val="dk1"/>
              </a:solidFill>
              <a:effectLst/>
              <a:latin typeface="+mn-lt"/>
              <a:ea typeface="+mn-ea"/>
              <a:cs typeface="+mn-cs"/>
            </a:rPr>
            <a:t>The Department's Assembly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for FY 2016-17 </a:t>
          </a:r>
          <a:r>
            <a:rPr lang="en-US" sz="850" b="1" baseline="0">
              <a:solidFill>
                <a:schemeClr val="dk1"/>
              </a:solidFill>
              <a:effectLst/>
              <a:latin typeface="+mn-lt"/>
              <a:ea typeface="+mn-ea"/>
              <a:cs typeface="+mn-cs"/>
            </a:rPr>
            <a:t>was </a:t>
          </a:r>
          <a:r>
            <a:rPr lang="en-US" sz="850" b="1">
              <a:solidFill>
                <a:schemeClr val="dk1"/>
              </a:solidFill>
              <a:effectLst/>
              <a:latin typeface="+mn-lt"/>
              <a:ea typeface="+mn-ea"/>
              <a:cs typeface="+mn-cs"/>
            </a:rPr>
            <a:t>approved during the last year’s budget cycle and none of the</a:t>
          </a:r>
          <a:r>
            <a:rPr lang="en-US" sz="850" b="1" baseline="0">
              <a:solidFill>
                <a:schemeClr val="dk1"/>
              </a:solidFill>
              <a:effectLst/>
              <a:latin typeface="+mn-lt"/>
              <a:ea typeface="+mn-ea"/>
              <a:cs typeface="+mn-cs"/>
            </a:rPr>
            <a:t> assumptions/costs have </a:t>
          </a:r>
          <a:r>
            <a:rPr lang="en-US" sz="850" b="1">
              <a:solidFill>
                <a:schemeClr val="dk1"/>
              </a:solidFill>
              <a:effectLst/>
              <a:latin typeface="+mn-lt"/>
              <a:ea typeface="+mn-ea"/>
              <a:cs typeface="+mn-cs"/>
            </a:rPr>
            <a:t>changed.</a:t>
          </a:r>
          <a:r>
            <a:rPr lang="en-US" sz="850" b="1" baseline="0">
              <a:solidFill>
                <a:schemeClr val="dk1"/>
              </a:solidFill>
              <a:effectLst/>
              <a:latin typeface="+mn-lt"/>
              <a:ea typeface="+mn-ea"/>
              <a:cs typeface="+mn-cs"/>
            </a:rPr>
            <a:t>  The Department is seeking approval for the A</a:t>
          </a:r>
          <a:r>
            <a:rPr lang="en-US" sz="850" b="1">
              <a:solidFill>
                <a:schemeClr val="dk1"/>
              </a:solidFill>
              <a:effectLst/>
              <a:latin typeface="+mn-lt"/>
              <a:ea typeface="+mn-ea"/>
              <a:cs typeface="+mn-cs"/>
            </a:rPr>
            <a:t>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 for FY 2017-18.</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 </a:t>
          </a:r>
          <a:endParaRPr lang="en-US" sz="8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390525</xdr:colOff>
      <xdr:row>1</xdr:row>
      <xdr:rowOff>57151</xdr:rowOff>
    </xdr:from>
    <xdr:to>
      <xdr:col>17</xdr:col>
      <xdr:colOff>1617889</xdr:colOff>
      <xdr:row>3</xdr:row>
      <xdr:rowOff>161926</xdr:rowOff>
    </xdr:to>
    <xdr:sp macro="" textlink="">
      <xdr:nvSpPr>
        <xdr:cNvPr id="2" name="TextBox 1"/>
        <xdr:cNvSpPr txBox="1"/>
      </xdr:nvSpPr>
      <xdr:spPr>
        <a:xfrm>
          <a:off x="8724900" y="238126"/>
          <a:ext cx="3427639"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217715</xdr:colOff>
      <xdr:row>0</xdr:row>
      <xdr:rowOff>54429</xdr:rowOff>
    </xdr:from>
    <xdr:to>
      <xdr:col>15</xdr:col>
      <xdr:colOff>597354</xdr:colOff>
      <xdr:row>2</xdr:row>
      <xdr:rowOff>70758</xdr:rowOff>
    </xdr:to>
    <xdr:sp macro="" textlink="">
      <xdr:nvSpPr>
        <xdr:cNvPr id="2" name="TextBox 1"/>
        <xdr:cNvSpPr txBox="1"/>
      </xdr:nvSpPr>
      <xdr:spPr>
        <a:xfrm>
          <a:off x="11402786" y="54429"/>
          <a:ext cx="3427639"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1847850</xdr:colOff>
      <xdr:row>2</xdr:row>
      <xdr:rowOff>95250</xdr:rowOff>
    </xdr:from>
    <xdr:to>
      <xdr:col>6</xdr:col>
      <xdr:colOff>1713139</xdr:colOff>
      <xdr:row>4</xdr:row>
      <xdr:rowOff>142875</xdr:rowOff>
    </xdr:to>
    <xdr:sp macro="" textlink="">
      <xdr:nvSpPr>
        <xdr:cNvPr id="2" name="TextBox 1"/>
        <xdr:cNvSpPr txBox="1"/>
      </xdr:nvSpPr>
      <xdr:spPr>
        <a:xfrm>
          <a:off x="10258425" y="419100"/>
          <a:ext cx="3427639"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1266264</xdr:colOff>
      <xdr:row>0</xdr:row>
      <xdr:rowOff>56030</xdr:rowOff>
    </xdr:from>
    <xdr:to>
      <xdr:col>9</xdr:col>
      <xdr:colOff>794256</xdr:colOff>
      <xdr:row>3</xdr:row>
      <xdr:rowOff>45945</xdr:rowOff>
    </xdr:to>
    <xdr:sp macro="" textlink="">
      <xdr:nvSpPr>
        <xdr:cNvPr id="2" name="TextBox 1"/>
        <xdr:cNvSpPr txBox="1"/>
      </xdr:nvSpPr>
      <xdr:spPr>
        <a:xfrm>
          <a:off x="6790764" y="56030"/>
          <a:ext cx="3427639"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Department</a:t>
          </a:r>
          <a:r>
            <a:rPr lang="en-US" sz="1400" b="1" baseline="0">
              <a:solidFill>
                <a:schemeClr val="dk1"/>
              </a:solidFill>
              <a:effectLst/>
              <a:latin typeface="Arial" panose="020B0604020202020204" pitchFamily="34" charset="0"/>
              <a:ea typeface="+mn-ea"/>
              <a:cs typeface="Arial" panose="020B0604020202020204" pitchFamily="34" charset="0"/>
            </a:rPr>
            <a:t> has no equipment requests. </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466725</xdr:colOff>
          <xdr:row>7</xdr:row>
          <xdr:rowOff>9525</xdr:rowOff>
        </xdr:from>
        <xdr:to>
          <xdr:col>9</xdr:col>
          <xdr:colOff>571500</xdr:colOff>
          <xdr:row>69</xdr:row>
          <xdr:rowOff>19050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twoCellAnchor>
    <xdr:from>
      <xdr:col>5</xdr:col>
      <xdr:colOff>88900</xdr:colOff>
      <xdr:row>3</xdr:row>
      <xdr:rowOff>44450</xdr:rowOff>
    </xdr:from>
    <xdr:to>
      <xdr:col>11</xdr:col>
      <xdr:colOff>520700</xdr:colOff>
      <xdr:row>5</xdr:row>
      <xdr:rowOff>69850</xdr:rowOff>
    </xdr:to>
    <xdr:sp macro="" textlink="">
      <xdr:nvSpPr>
        <xdr:cNvPr id="3" name="TextBox 2"/>
        <xdr:cNvSpPr txBox="1"/>
      </xdr:nvSpPr>
      <xdr:spPr>
        <a:xfrm>
          <a:off x="3613150" y="539750"/>
          <a:ext cx="4711700" cy="3302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a:t>
          </a:r>
          <a:r>
            <a:rPr lang="en-US" sz="1400" b="1" baseline="0">
              <a:solidFill>
                <a:schemeClr val="dk1"/>
              </a:solidFill>
              <a:effectLst/>
              <a:latin typeface="Arial" panose="020B0604020202020204" pitchFamily="34" charset="0"/>
              <a:ea typeface="+mn-ea"/>
              <a:cs typeface="Arial" panose="020B0604020202020204" pitchFamily="34" charset="0"/>
            </a:rPr>
            <a:t>Department has no fleet requests.</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79375</xdr:colOff>
      <xdr:row>0</xdr:row>
      <xdr:rowOff>142875</xdr:rowOff>
    </xdr:from>
    <xdr:to>
      <xdr:col>12</xdr:col>
      <xdr:colOff>490764</xdr:colOff>
      <xdr:row>3</xdr:row>
      <xdr:rowOff>9525</xdr:rowOff>
    </xdr:to>
    <xdr:sp macro="" textlink="">
      <xdr:nvSpPr>
        <xdr:cNvPr id="2" name="TextBox 1"/>
        <xdr:cNvSpPr txBox="1"/>
      </xdr:nvSpPr>
      <xdr:spPr>
        <a:xfrm>
          <a:off x="4016375" y="142875"/>
          <a:ext cx="3427639"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Department</a:t>
          </a:r>
          <a:r>
            <a:rPr lang="en-US" sz="1400" b="1" baseline="0">
              <a:solidFill>
                <a:schemeClr val="dk1"/>
              </a:solidFill>
              <a:effectLst/>
              <a:latin typeface="Arial" panose="020B0604020202020204" pitchFamily="34" charset="0"/>
              <a:ea typeface="+mn-ea"/>
              <a:cs typeface="Arial" panose="020B0604020202020204" pitchFamily="34" charset="0"/>
            </a:rPr>
            <a:t> did not submit any projects to  COIT. </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254000</xdr:colOff>
      <xdr:row>0</xdr:row>
      <xdr:rowOff>95250</xdr:rowOff>
    </xdr:from>
    <xdr:to>
      <xdr:col>12</xdr:col>
      <xdr:colOff>555625</xdr:colOff>
      <xdr:row>2</xdr:row>
      <xdr:rowOff>215900</xdr:rowOff>
    </xdr:to>
    <xdr:sp macro="" textlink="">
      <xdr:nvSpPr>
        <xdr:cNvPr id="2" name="TextBox 1"/>
        <xdr:cNvSpPr txBox="1"/>
      </xdr:nvSpPr>
      <xdr:spPr>
        <a:xfrm>
          <a:off x="4191000" y="95250"/>
          <a:ext cx="3317875"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Department</a:t>
          </a:r>
          <a:r>
            <a:rPr lang="en-US" sz="1400" b="1" baseline="0">
              <a:solidFill>
                <a:schemeClr val="dk1"/>
              </a:solidFill>
              <a:effectLst/>
              <a:latin typeface="Arial" panose="020B0604020202020204" pitchFamily="34" charset="0"/>
              <a:ea typeface="+mn-ea"/>
              <a:cs typeface="Arial" panose="020B0604020202020204" pitchFamily="34" charset="0"/>
            </a:rPr>
            <a:t> did not submit any Capital Budget Requests. </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80211</xdr:colOff>
      <xdr:row>0</xdr:row>
      <xdr:rowOff>40104</xdr:rowOff>
    </xdr:from>
    <xdr:to>
      <xdr:col>13</xdr:col>
      <xdr:colOff>169779</xdr:colOff>
      <xdr:row>3</xdr:row>
      <xdr:rowOff>20052</xdr:rowOff>
    </xdr:to>
    <xdr:sp macro="" textlink="">
      <xdr:nvSpPr>
        <xdr:cNvPr id="2" name="TextBox 1"/>
        <xdr:cNvSpPr txBox="1"/>
      </xdr:nvSpPr>
      <xdr:spPr>
        <a:xfrm>
          <a:off x="4191000" y="40104"/>
          <a:ext cx="3107490" cy="71186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Bullen\LOCALS~1\Temp\notes003EDB\~724763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Y-CH01\Data\Budget\2016-2017\Budget%20Instructions\FT2015-16%2016-17%20Budget%20Forms%20-%20with%20COIT%20Update%202014.12.30%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UDGET\2012\Budget%20Instructions\Prop%20J\Prop%20J%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FY13-14andFY14-15_Budget%20Forms_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UDGET\2012\Budget%20Instructions\Prop%20J\Prop%20J%20S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Budget%20Instruction%20Forms_FINAL%20FY12-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udget%20Instructions\FY12-13%20Budget%20Forms_MBOedits_2011.11.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BUDGET\2011\Two%20year%20budget\Two-Year%20Budget%20Forms-ACTIV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DGET\2011\Two%20year%20budget\Two-Year%20Budget%20Forms-ACTI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sfgov.org/DOCUME~1/CCZERW~1.CON/LOCALS~1/Temp/notes9B2956/~46915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CCZERW~1.CON\LOCALS~1\Temp\notes9B2956\Form%2010%20-%20Capit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CH01\DOCUME~1\CCZERW~1.CON\LOCALS~1\Temp\notes9B2956\Form%2010%20-%20Capit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Form%202C_111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Major Changes Table"/>
      <sheetName val="1B Graphs"/>
      <sheetName val="1C General Fund Enhancements"/>
      <sheetName val="2B Fees &amp; Fines"/>
      <sheetName val="2C Cost Recovery"/>
      <sheetName val="2D Fee Eliminations"/>
      <sheetName val="3A Expenditure Report"/>
      <sheetName val="4A &amp; 4B Equipment"/>
      <sheetName val="4C Base Equipment"/>
      <sheetName val="5 IT Requests--&gt;"/>
      <sheetName val="5D COIT Project Justification"/>
      <sheetName val="5E COIT Financial Worksheet"/>
      <sheetName val="6 Capital Request (Online)"/>
      <sheetName val="7 Position Changes"/>
      <sheetName val="8 Legislative Changes"/>
      <sheetName val="9A Contracts Non-ICT"/>
      <sheetName val="9B Contracts ICT"/>
      <sheetName val="FMCS100"/>
      <sheetName val="Prop J Summary"/>
      <sheetName val="Prop J Main Template"/>
      <sheetName val="Prop J Cost Detail"/>
      <sheetName val="Prop J Sample"/>
      <sheetName val="Contact Sheet"/>
      <sheetName val="Sheet1"/>
      <sheetName val="Sheet2"/>
      <sheetName val="Sheet3"/>
      <sheetName val="2A Revenue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
          <cell r="F12">
            <v>0</v>
          </cell>
        </row>
        <row r="33">
          <cell r="F33">
            <v>0</v>
          </cell>
        </row>
        <row r="40">
          <cell r="F40">
            <v>0</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J - Main"/>
      <sheetName val="Prop J Contract Cost Detail"/>
      <sheetName val="Prop J Summary"/>
      <sheetName val="Contract Cost Detail"/>
      <sheetName val="Summary"/>
    </sheetNames>
    <sheetDataSet>
      <sheetData sheetId="0">
        <row r="3">
          <cell r="A3" t="str">
            <v>[DEPARTMENT], [DIVISION]</v>
          </cell>
        </row>
        <row r="45">
          <cell r="G45">
            <v>0</v>
          </cell>
        </row>
        <row r="52">
          <cell r="G52">
            <v>0</v>
          </cell>
        </row>
      </sheetData>
      <sheetData sheetId="1" refreshError="1"/>
      <sheetData sheetId="2"/>
      <sheetData sheetId="3">
        <row r="10">
          <cell r="P10">
            <v>0</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Table"/>
      <sheetName val="Form 1B-Graphs"/>
      <sheetName val="Form 2A-Revenue Report"/>
      <sheetName val="Form 2B-Fees &amp; Fines"/>
      <sheetName val="Form 3A-Expenditure Report"/>
      <sheetName val="Form 3B-Children's Services"/>
      <sheetName val="Form 3C-Public Education Fund"/>
      <sheetName val="Form 4-Equipment"/>
      <sheetName val="Form 5-IT (Online)"/>
      <sheetName val="Form 7-Position Changes"/>
      <sheetName val="Form 8-Legislative Changes"/>
      <sheetName val="Form 9-Capital Request (Online)"/>
      <sheetName val="Form 10A-Contracts Non-ICT"/>
      <sheetName val="Form 10B-Contracts ICT"/>
      <sheetName val="FMCA"/>
      <sheetName val="Contact Sheet"/>
      <sheetName val="Prop J - Main Template"/>
      <sheetName val="Prop J Contract Cost Detail"/>
      <sheetName val="Prop J - 14-15 Main Template"/>
      <sheetName val="PropJ 1415 Contract Cost Detail"/>
      <sheetName val="Prop J Summary"/>
      <sheetName val="Prop J - Samp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0">
          <cell r="P10">
            <v>0</v>
          </cell>
          <cell r="Q10">
            <v>0</v>
          </cell>
        </row>
        <row r="14">
          <cell r="P14">
            <v>0</v>
          </cell>
          <cell r="Q14">
            <v>0</v>
          </cell>
        </row>
      </sheetData>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J - Main"/>
      <sheetName val="Contract Cost Detail"/>
      <sheetName val="Summary"/>
    </sheetNames>
    <sheetDataSet>
      <sheetData sheetId="0" refreshError="1"/>
      <sheetData sheetId="1" refreshError="1">
        <row r="5">
          <cell r="F5">
            <v>20670041</v>
          </cell>
          <cell r="G5">
            <v>20670041</v>
          </cell>
        </row>
        <row r="10">
          <cell r="P10">
            <v>15054.02513089007</v>
          </cell>
          <cell r="Q10">
            <v>18299.235392670136</v>
          </cell>
        </row>
        <row r="11">
          <cell r="P11">
            <v>11965.085026178031</v>
          </cell>
          <cell r="Q11">
            <v>14548.751623036665</v>
          </cell>
        </row>
        <row r="15">
          <cell r="P15">
            <v>6400.5056852356083</v>
          </cell>
          <cell r="Q15">
            <v>7212.1327717068025</v>
          </cell>
        </row>
        <row r="16">
          <cell r="P16">
            <v>5627.9617650471264</v>
          </cell>
          <cell r="Q16">
            <v>6274.1367809214717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Table"/>
      <sheetName val="Form 1B-Graphs"/>
      <sheetName val="Form 2A-Revenue Report"/>
      <sheetName val="Form 2B-Fees &amp; Fines"/>
      <sheetName val="Form 2C-Fee Cost Recovery "/>
      <sheetName val="Form 2C-Sample"/>
      <sheetName val="Form 3A-Expenditure Report"/>
      <sheetName val="Form 3B-Children's Services"/>
      <sheetName val="Form 3C-Public Education Fund"/>
      <sheetName val="Form 4-Equipment"/>
      <sheetName val="Form 5-IT (Online)"/>
      <sheetName val="Form 6-Contingency Plan"/>
      <sheetName val="Form 7-Position Changes"/>
      <sheetName val="Form 8-Legislative Changes"/>
      <sheetName val="Form 9-Capital Request (Online)"/>
      <sheetName val="Form 10-One Time Efficiency"/>
      <sheetName val="Form 11A - Contracts Non-IC"/>
      <sheetName val="Form 11B - Contracts ICT"/>
      <sheetName val="FMCS"/>
      <sheetName val="Contact Sheet"/>
      <sheetName val="Prop J - Main Template"/>
      <sheetName val="Prop J Contract Cost Detail"/>
      <sheetName val="Prop J Summary"/>
      <sheetName val="Prop J - Sample"/>
    </sheetNames>
    <sheetDataSet>
      <sheetData sheetId="0"/>
      <sheetData sheetId="1"/>
      <sheetData sheetId="2"/>
      <sheetData sheetId="3">
        <row r="4">
          <cell r="Q4" t="str">
            <v>Yes</v>
          </cell>
        </row>
        <row r="5">
          <cell r="Q5"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 val="DROP DOWN LIST"/>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C - Cost Recovery"/>
      <sheetName val="Worksheet_14-15"/>
      <sheetName val="Worksheet_15-16"/>
    </sheetNames>
    <sheetDataSet>
      <sheetData sheetId="0">
        <row r="25">
          <cell r="D25">
            <v>5000</v>
          </cell>
        </row>
        <row r="144">
          <cell r="F144">
            <v>0</v>
          </cell>
        </row>
        <row r="153">
          <cell r="B153">
            <v>0</v>
          </cell>
        </row>
        <row r="161">
          <cell r="B161">
            <v>0</v>
          </cell>
        </row>
        <row r="169">
          <cell r="B169">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admweb/AdminServices/Fleetmgmt/DocsForms/CityVehicleProcurementWorkshop/VehicleAcquisitionRequestFormFMCS%20100-2015.pdf"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nataliya.kuzina@sfgov.org" TargetMode="Externa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B1:O35"/>
  <sheetViews>
    <sheetView zoomScaleNormal="100" zoomScaleSheetLayoutView="90" workbookViewId="0">
      <selection activeCell="I8" sqref="I8"/>
    </sheetView>
  </sheetViews>
  <sheetFormatPr defaultColWidth="9.140625" defaultRowHeight="14.25" x14ac:dyDescent="0.2"/>
  <cols>
    <col min="1" max="1" width="6" style="3" customWidth="1"/>
    <col min="2" max="2" width="17" style="3" customWidth="1"/>
    <col min="3" max="3" width="12.140625" style="3" customWidth="1"/>
    <col min="4" max="4" width="13.7109375" style="3" customWidth="1"/>
    <col min="5" max="5" width="18.140625" style="3" customWidth="1"/>
    <col min="6" max="6" width="12.140625" style="3" customWidth="1"/>
    <col min="7" max="7" width="19.140625" style="3" customWidth="1"/>
    <col min="8" max="8" width="16.85546875" style="4" customWidth="1"/>
    <col min="9" max="9" width="17.140625" style="3" customWidth="1"/>
    <col min="10" max="10" width="15.28515625" style="3" customWidth="1"/>
    <col min="11" max="11" width="19.140625" style="5" customWidth="1"/>
    <col min="12" max="12" width="13.7109375" style="3" customWidth="1"/>
    <col min="13" max="13" width="17.140625" style="3" customWidth="1"/>
    <col min="14" max="14" width="13.28515625" style="3" customWidth="1"/>
    <col min="15" max="15" width="36.7109375" style="3" customWidth="1"/>
    <col min="16" max="16384" width="9.140625" style="3"/>
  </cols>
  <sheetData>
    <row r="1" spans="2:15" ht="18" x14ac:dyDescent="0.2">
      <c r="B1" s="1" t="s">
        <v>0</v>
      </c>
      <c r="D1" s="2"/>
    </row>
    <row r="2" spans="2:15" ht="18" x14ac:dyDescent="0.2">
      <c r="B2" s="6" t="s">
        <v>1</v>
      </c>
      <c r="D2" s="7"/>
    </row>
    <row r="4" spans="2:15" x14ac:dyDescent="0.2">
      <c r="B4" s="3" t="s">
        <v>567</v>
      </c>
    </row>
    <row r="5" spans="2:15" ht="15" thickBot="1" x14ac:dyDescent="0.25"/>
    <row r="6" spans="2:15" s="10" customFormat="1" ht="16.5" thickBot="1" x14ac:dyDescent="0.3">
      <c r="B6" s="8" t="s">
        <v>2</v>
      </c>
      <c r="C6" s="8"/>
      <c r="D6" s="8"/>
      <c r="E6" s="8"/>
      <c r="F6" s="8"/>
      <c r="G6" s="9"/>
      <c r="K6" s="11"/>
    </row>
    <row r="7" spans="2:15" s="10" customFormat="1" ht="15.75" thickBot="1" x14ac:dyDescent="0.25">
      <c r="B7" s="10" t="s">
        <v>3</v>
      </c>
      <c r="H7" s="12"/>
      <c r="K7" s="11"/>
    </row>
    <row r="8" spans="2:15" s="18" customFormat="1" ht="69.75" customHeight="1" x14ac:dyDescent="0.25">
      <c r="B8" s="13" t="s">
        <v>465</v>
      </c>
      <c r="C8" s="13" t="s">
        <v>4</v>
      </c>
      <c r="D8" s="13" t="s">
        <v>5</v>
      </c>
      <c r="E8" s="13" t="s">
        <v>6</v>
      </c>
      <c r="F8" s="13" t="s">
        <v>10</v>
      </c>
      <c r="G8" s="13" t="s">
        <v>11</v>
      </c>
      <c r="H8" s="14" t="s">
        <v>12</v>
      </c>
      <c r="I8" s="15" t="s">
        <v>13</v>
      </c>
      <c r="J8" s="16" t="s">
        <v>14</v>
      </c>
      <c r="K8" s="17" t="s">
        <v>15</v>
      </c>
      <c r="L8" s="14" t="s">
        <v>16</v>
      </c>
      <c r="M8" s="15" t="s">
        <v>17</v>
      </c>
      <c r="N8" s="16" t="s">
        <v>18</v>
      </c>
      <c r="O8" s="17" t="s">
        <v>9</v>
      </c>
    </row>
    <row r="9" spans="2:15" ht="16.5" customHeight="1" x14ac:dyDescent="0.2">
      <c r="B9" s="19"/>
      <c r="C9" s="19"/>
      <c r="D9" s="19"/>
      <c r="E9" s="19"/>
      <c r="F9" s="19"/>
      <c r="G9" s="19"/>
      <c r="H9" s="20"/>
      <c r="I9" s="21"/>
      <c r="J9" s="22"/>
      <c r="K9" s="23"/>
      <c r="L9" s="24"/>
      <c r="M9" s="23"/>
      <c r="N9" s="22"/>
      <c r="O9" s="25"/>
    </row>
    <row r="10" spans="2:15" ht="16.5" customHeight="1" x14ac:dyDescent="0.2">
      <c r="B10" s="19"/>
      <c r="C10" s="19"/>
      <c r="D10" s="19"/>
      <c r="E10" s="19"/>
      <c r="F10" s="19"/>
      <c r="G10" s="19"/>
      <c r="H10" s="20"/>
      <c r="I10" s="21"/>
      <c r="J10" s="22"/>
      <c r="K10" s="23"/>
      <c r="L10" s="24"/>
      <c r="M10" s="23"/>
      <c r="N10" s="22"/>
      <c r="O10" s="25"/>
    </row>
    <row r="11" spans="2:15" ht="16.5" customHeight="1" x14ac:dyDescent="0.2">
      <c r="B11" s="19"/>
      <c r="C11" s="19"/>
      <c r="D11" s="19"/>
      <c r="E11" s="19"/>
      <c r="F11" s="19"/>
      <c r="G11" s="19"/>
      <c r="H11" s="20"/>
      <c r="I11" s="21"/>
      <c r="J11" s="22"/>
      <c r="K11" s="23"/>
      <c r="L11" s="24"/>
      <c r="M11" s="23"/>
      <c r="N11" s="22"/>
      <c r="O11" s="25"/>
    </row>
    <row r="12" spans="2:15" ht="16.5" customHeight="1" x14ac:dyDescent="0.2">
      <c r="B12" s="19"/>
      <c r="C12" s="19"/>
      <c r="D12" s="19"/>
      <c r="E12" s="19"/>
      <c r="F12" s="19"/>
      <c r="G12" s="19"/>
      <c r="H12" s="20"/>
      <c r="I12" s="21"/>
      <c r="J12" s="22"/>
      <c r="K12" s="23"/>
      <c r="L12" s="24"/>
      <c r="M12" s="23"/>
      <c r="N12" s="22"/>
      <c r="O12" s="25"/>
    </row>
    <row r="13" spans="2:15" ht="16.5" customHeight="1" x14ac:dyDescent="0.2">
      <c r="B13" s="19"/>
      <c r="C13" s="19"/>
      <c r="D13" s="19"/>
      <c r="E13" s="19"/>
      <c r="F13" s="19"/>
      <c r="G13" s="19"/>
      <c r="H13" s="20"/>
      <c r="I13" s="21"/>
      <c r="J13" s="22"/>
      <c r="K13" s="23"/>
      <c r="L13" s="24"/>
      <c r="M13" s="23"/>
      <c r="N13" s="22"/>
      <c r="O13" s="25"/>
    </row>
    <row r="14" spans="2:15" ht="16.5" customHeight="1" x14ac:dyDescent="0.2">
      <c r="B14" s="19"/>
      <c r="C14" s="19"/>
      <c r="D14" s="19"/>
      <c r="E14" s="19"/>
      <c r="F14" s="19"/>
      <c r="G14" s="19"/>
      <c r="H14" s="20"/>
      <c r="I14" s="21"/>
      <c r="J14" s="22"/>
      <c r="K14" s="23"/>
      <c r="L14" s="24"/>
      <c r="M14" s="23"/>
      <c r="N14" s="22"/>
      <c r="O14" s="25"/>
    </row>
    <row r="15" spans="2:15" ht="16.5" customHeight="1" x14ac:dyDescent="0.2">
      <c r="B15" s="19"/>
      <c r="C15" s="19"/>
      <c r="D15" s="19"/>
      <c r="E15" s="19"/>
      <c r="F15" s="19"/>
      <c r="G15" s="19"/>
      <c r="H15" s="20"/>
      <c r="I15" s="21"/>
      <c r="J15" s="22"/>
      <c r="K15" s="23"/>
      <c r="L15" s="24"/>
      <c r="M15" s="23"/>
      <c r="N15" s="22"/>
      <c r="O15" s="25"/>
    </row>
    <row r="16" spans="2:15" ht="16.5" customHeight="1" x14ac:dyDescent="0.2">
      <c r="B16" s="19"/>
      <c r="C16" s="19"/>
      <c r="D16" s="19"/>
      <c r="E16" s="19"/>
      <c r="F16" s="19"/>
      <c r="G16" s="19"/>
      <c r="H16" s="20"/>
      <c r="I16" s="21"/>
      <c r="J16" s="22"/>
      <c r="K16" s="23"/>
      <c r="L16" s="24"/>
      <c r="M16" s="23"/>
      <c r="N16" s="22"/>
      <c r="O16" s="25"/>
    </row>
    <row r="17" spans="2:15" ht="16.5" customHeight="1" thickBot="1" x14ac:dyDescent="0.25">
      <c r="B17" s="19"/>
      <c r="C17" s="19"/>
      <c r="D17" s="19"/>
      <c r="E17" s="19"/>
      <c r="F17" s="19"/>
      <c r="G17" s="19"/>
      <c r="H17" s="20"/>
      <c r="I17" s="26"/>
      <c r="J17" s="27"/>
      <c r="K17" s="23"/>
      <c r="L17" s="24"/>
      <c r="M17" s="28"/>
      <c r="N17" s="27"/>
      <c r="O17" s="25"/>
    </row>
    <row r="18" spans="2:15" s="10" customFormat="1" ht="15" x14ac:dyDescent="0.2">
      <c r="H18" s="12"/>
      <c r="K18" s="11"/>
    </row>
    <row r="19" spans="2:15" s="10" customFormat="1" ht="15.75" thickBot="1" x14ac:dyDescent="0.25">
      <c r="H19" s="12"/>
      <c r="K19" s="11"/>
    </row>
    <row r="20" spans="2:15" s="10" customFormat="1" ht="16.5" thickBot="1" x14ac:dyDescent="0.3">
      <c r="B20" s="8" t="s">
        <v>7</v>
      </c>
      <c r="C20" s="29"/>
      <c r="D20" s="8"/>
      <c r="E20" s="8"/>
      <c r="F20" s="9"/>
      <c r="H20" s="12"/>
      <c r="K20" s="11"/>
    </row>
    <row r="21" spans="2:15" s="10" customFormat="1" ht="15.75" customHeight="1" thickBot="1" x14ac:dyDescent="0.25">
      <c r="B21" s="10" t="s">
        <v>8</v>
      </c>
      <c r="H21" s="12"/>
      <c r="K21" s="11"/>
    </row>
    <row r="22" spans="2:15" s="18" customFormat="1" ht="60" x14ac:dyDescent="0.25">
      <c r="B22" s="13" t="s">
        <v>465</v>
      </c>
      <c r="C22" s="13" t="s">
        <v>4</v>
      </c>
      <c r="D22" s="13" t="s">
        <v>5</v>
      </c>
      <c r="E22" s="13" t="s">
        <v>568</v>
      </c>
      <c r="F22" s="13" t="s">
        <v>10</v>
      </c>
      <c r="G22" s="13" t="s">
        <v>569</v>
      </c>
      <c r="H22" s="14" t="s">
        <v>12</v>
      </c>
      <c r="I22" s="15" t="s">
        <v>570</v>
      </c>
      <c r="J22" s="16" t="s">
        <v>19</v>
      </c>
      <c r="K22" s="17" t="s">
        <v>571</v>
      </c>
      <c r="L22" s="14" t="s">
        <v>16</v>
      </c>
      <c r="M22" s="15" t="s">
        <v>572</v>
      </c>
      <c r="N22" s="16" t="s">
        <v>18</v>
      </c>
      <c r="O22" s="17" t="s">
        <v>9</v>
      </c>
    </row>
    <row r="23" spans="2:15" ht="16.5" customHeight="1" x14ac:dyDescent="0.2">
      <c r="B23" s="19"/>
      <c r="C23" s="19"/>
      <c r="D23" s="19"/>
      <c r="E23" s="19"/>
      <c r="F23" s="19"/>
      <c r="G23" s="19"/>
      <c r="H23" s="20"/>
      <c r="I23" s="30"/>
      <c r="J23" s="31"/>
      <c r="K23" s="32"/>
      <c r="L23" s="20"/>
      <c r="M23" s="30"/>
      <c r="N23" s="31"/>
      <c r="O23" s="25"/>
    </row>
    <row r="24" spans="2:15" ht="16.5" customHeight="1" x14ac:dyDescent="0.2">
      <c r="B24" s="19"/>
      <c r="C24" s="19"/>
      <c r="D24" s="19"/>
      <c r="E24" s="19"/>
      <c r="F24" s="19"/>
      <c r="G24" s="19"/>
      <c r="H24" s="20"/>
      <c r="I24" s="30"/>
      <c r="J24" s="31"/>
      <c r="K24" s="32"/>
      <c r="L24" s="20"/>
      <c r="M24" s="30"/>
      <c r="N24" s="31"/>
      <c r="O24" s="25"/>
    </row>
    <row r="25" spans="2:15" ht="16.5" customHeight="1" x14ac:dyDescent="0.2">
      <c r="B25" s="19"/>
      <c r="C25" s="19"/>
      <c r="D25" s="19"/>
      <c r="E25" s="19"/>
      <c r="F25" s="19"/>
      <c r="G25" s="19"/>
      <c r="H25" s="20"/>
      <c r="I25" s="30"/>
      <c r="J25" s="31"/>
      <c r="K25" s="32"/>
      <c r="L25" s="20"/>
      <c r="M25" s="30"/>
      <c r="N25" s="31"/>
      <c r="O25" s="25"/>
    </row>
    <row r="26" spans="2:15" ht="16.5" customHeight="1" x14ac:dyDescent="0.2">
      <c r="B26" s="19"/>
      <c r="C26" s="19"/>
      <c r="D26" s="19"/>
      <c r="E26" s="19"/>
      <c r="F26" s="19"/>
      <c r="G26" s="19"/>
      <c r="H26" s="20"/>
      <c r="I26" s="30"/>
      <c r="J26" s="31"/>
      <c r="K26" s="32"/>
      <c r="L26" s="20"/>
      <c r="M26" s="30"/>
      <c r="N26" s="31"/>
      <c r="O26" s="25"/>
    </row>
    <row r="27" spans="2:15" ht="16.5" customHeight="1" x14ac:dyDescent="0.2">
      <c r="B27" s="19"/>
      <c r="C27" s="19"/>
      <c r="D27" s="19"/>
      <c r="E27" s="19"/>
      <c r="F27" s="19"/>
      <c r="G27" s="19"/>
      <c r="H27" s="20"/>
      <c r="I27" s="30"/>
      <c r="J27" s="31"/>
      <c r="K27" s="32"/>
      <c r="L27" s="20"/>
      <c r="M27" s="30"/>
      <c r="N27" s="31"/>
      <c r="O27" s="25"/>
    </row>
    <row r="28" spans="2:15" ht="16.5" customHeight="1" x14ac:dyDescent="0.2">
      <c r="B28" s="19"/>
      <c r="C28" s="19"/>
      <c r="D28" s="19"/>
      <c r="E28" s="19"/>
      <c r="F28" s="19"/>
      <c r="G28" s="19"/>
      <c r="H28" s="20"/>
      <c r="I28" s="30"/>
      <c r="J28" s="31"/>
      <c r="K28" s="32"/>
      <c r="L28" s="20"/>
      <c r="M28" s="30"/>
      <c r="N28" s="31"/>
      <c r="O28" s="25"/>
    </row>
    <row r="29" spans="2:15" ht="16.5" customHeight="1" x14ac:dyDescent="0.2">
      <c r="B29" s="19"/>
      <c r="C29" s="19"/>
      <c r="D29" s="19"/>
      <c r="E29" s="19"/>
      <c r="F29" s="19"/>
      <c r="G29" s="19"/>
      <c r="H29" s="20"/>
      <c r="I29" s="30"/>
      <c r="J29" s="31"/>
      <c r="K29" s="32"/>
      <c r="L29" s="20"/>
      <c r="M29" s="30"/>
      <c r="N29" s="31"/>
      <c r="O29" s="25"/>
    </row>
    <row r="30" spans="2:15" ht="16.5" customHeight="1" x14ac:dyDescent="0.2">
      <c r="B30" s="19"/>
      <c r="C30" s="19"/>
      <c r="D30" s="19"/>
      <c r="E30" s="19"/>
      <c r="F30" s="19"/>
      <c r="G30" s="19"/>
      <c r="H30" s="20"/>
      <c r="I30" s="30"/>
      <c r="J30" s="31"/>
      <c r="K30" s="32"/>
      <c r="L30" s="20"/>
      <c r="M30" s="30"/>
      <c r="N30" s="31"/>
      <c r="O30" s="25"/>
    </row>
    <row r="31" spans="2:15" ht="16.5" customHeight="1" x14ac:dyDescent="0.2">
      <c r="B31" s="19"/>
      <c r="C31" s="19"/>
      <c r="D31" s="19"/>
      <c r="E31" s="19"/>
      <c r="F31" s="19"/>
      <c r="G31" s="19"/>
      <c r="H31" s="20"/>
      <c r="I31" s="30"/>
      <c r="J31" s="31"/>
      <c r="K31" s="32"/>
      <c r="L31" s="20"/>
      <c r="M31" s="30"/>
      <c r="N31" s="31"/>
      <c r="O31" s="25"/>
    </row>
    <row r="32" spans="2:15" ht="16.5" customHeight="1" x14ac:dyDescent="0.2">
      <c r="B32" s="19"/>
      <c r="C32" s="19"/>
      <c r="D32" s="19"/>
      <c r="E32" s="19"/>
      <c r="F32" s="19"/>
      <c r="G32" s="19"/>
      <c r="H32" s="20"/>
      <c r="I32" s="30"/>
      <c r="J32" s="31"/>
      <c r="K32" s="32"/>
      <c r="L32" s="20"/>
      <c r="M32" s="30"/>
      <c r="N32" s="31"/>
      <c r="O32" s="25"/>
    </row>
    <row r="33" spans="2:15" ht="16.5" customHeight="1" thickBot="1" x14ac:dyDescent="0.25">
      <c r="B33" s="19"/>
      <c r="C33" s="19"/>
      <c r="D33" s="19"/>
      <c r="E33" s="19"/>
      <c r="F33" s="19"/>
      <c r="G33" s="19"/>
      <c r="H33" s="20"/>
      <c r="I33" s="33"/>
      <c r="J33" s="34"/>
      <c r="K33" s="32"/>
      <c r="L33" s="20"/>
      <c r="M33" s="33"/>
      <c r="N33" s="34"/>
      <c r="O33" s="25"/>
    </row>
    <row r="34" spans="2:15" ht="16.5" customHeight="1" x14ac:dyDescent="0.2">
      <c r="H34" s="3"/>
      <c r="K34" s="3"/>
    </row>
    <row r="35" spans="2:15" ht="15" x14ac:dyDescent="0.25">
      <c r="C35" s="35"/>
      <c r="H35" s="3"/>
      <c r="K35" s="3"/>
    </row>
  </sheetData>
  <pageMargins left="0.16" right="0.16" top="0.77" bottom="0.71" header="0.5" footer="0.5"/>
  <pageSetup paperSize="17" scale="9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A3"/>
  <sheetViews>
    <sheetView zoomScale="150" zoomScaleNormal="150" workbookViewId="0">
      <selection activeCell="K15" sqref="K15"/>
    </sheetView>
  </sheetViews>
  <sheetFormatPr defaultRowHeight="12" customHeight="1" x14ac:dyDescent="0.25"/>
  <cols>
    <col min="1" max="8" width="10.5703125" style="120" customWidth="1"/>
    <col min="9" max="9" width="14.140625" style="120" customWidth="1"/>
    <col min="10" max="16384" width="9.140625" style="120"/>
  </cols>
  <sheetData>
    <row r="1" spans="1:1" ht="12" customHeight="1" x14ac:dyDescent="0.25">
      <c r="A1" s="826" t="s">
        <v>584</v>
      </c>
    </row>
    <row r="2" spans="1:1" ht="15" x14ac:dyDescent="0.25">
      <c r="A2" s="827" t="s">
        <v>592</v>
      </c>
    </row>
    <row r="3" spans="1:1" ht="12" customHeight="1" x14ac:dyDescent="0.25">
      <c r="A3" s="828" t="s">
        <v>593</v>
      </c>
    </row>
  </sheetData>
  <hyperlinks>
    <hyperlink ref="A3" r:id="rId1"/>
  </hyperlinks>
  <pageMargins left="0.5" right="0.5" top="0.5" bottom="0.5" header="0.3" footer="0.3"/>
  <pageSetup orientation="portrait" r:id="rId2"/>
  <drawing r:id="rId3"/>
  <legacyDrawing r:id="rId4"/>
  <oleObjects>
    <mc:AlternateContent xmlns:mc="http://schemas.openxmlformats.org/markup-compatibility/2006">
      <mc:Choice Requires="x14">
        <oleObject progId="Acrobat Document" shapeId="16385" r:id="rId5">
          <objectPr defaultSize="0" autoPict="0" r:id="rId6">
            <anchor moveWithCells="1">
              <from>
                <xdr:col>0</xdr:col>
                <xdr:colOff>466725</xdr:colOff>
                <xdr:row>7</xdr:row>
                <xdr:rowOff>9525</xdr:rowOff>
              </from>
              <to>
                <xdr:col>9</xdr:col>
                <xdr:colOff>571500</xdr:colOff>
                <xdr:row>69</xdr:row>
                <xdr:rowOff>19050</xdr:rowOff>
              </to>
            </anchor>
          </objectPr>
        </oleObject>
      </mc:Choice>
      <mc:Fallback>
        <oleObject progId="Acrobat Document" shapeId="16385"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2:C6"/>
  <sheetViews>
    <sheetView view="pageBreakPreview" zoomScale="60" zoomScaleNormal="100" workbookViewId="0">
      <selection activeCell="Y13" sqref="Y13"/>
    </sheetView>
  </sheetViews>
  <sheetFormatPr defaultColWidth="9.140625" defaultRowHeight="20.25" x14ac:dyDescent="0.3"/>
  <cols>
    <col min="1" max="1" width="4.7109375" style="305" customWidth="1"/>
    <col min="2" max="16384" width="9.140625" style="305"/>
  </cols>
  <sheetData>
    <row r="2" spans="2:3" x14ac:dyDescent="0.3">
      <c r="B2" s="113" t="s">
        <v>233</v>
      </c>
    </row>
    <row r="3" spans="2:3" x14ac:dyDescent="0.3">
      <c r="B3" s="113"/>
    </row>
    <row r="5" spans="2:3" x14ac:dyDescent="0.3">
      <c r="B5" s="305" t="s">
        <v>232</v>
      </c>
    </row>
    <row r="6" spans="2:3" x14ac:dyDescent="0.3">
      <c r="C6" s="306"/>
    </row>
  </sheetData>
  <pageMargins left="0.37" right="0.2" top="0.28999999999999998" bottom="0.24" header="0.17"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2:C6"/>
  <sheetViews>
    <sheetView view="pageBreakPreview" topLeftCell="B1" zoomScale="60" zoomScaleNormal="100" workbookViewId="0">
      <selection activeCell="O13" sqref="O13"/>
    </sheetView>
  </sheetViews>
  <sheetFormatPr defaultColWidth="9.140625" defaultRowHeight="20.25" x14ac:dyDescent="0.3"/>
  <cols>
    <col min="1" max="1" width="4.7109375" style="305" customWidth="1"/>
    <col min="2" max="16384" width="9.140625" style="305"/>
  </cols>
  <sheetData>
    <row r="2" spans="2:3" x14ac:dyDescent="0.3">
      <c r="B2" s="113" t="s">
        <v>271</v>
      </c>
    </row>
    <row r="3" spans="2:3" x14ac:dyDescent="0.3">
      <c r="B3" s="113"/>
    </row>
    <row r="5" spans="2:3" x14ac:dyDescent="0.3">
      <c r="B5" s="305" t="s">
        <v>270</v>
      </c>
    </row>
    <row r="6" spans="2:3" x14ac:dyDescent="0.3">
      <c r="C6" s="306"/>
    </row>
  </sheetData>
  <pageMargins left="0.37" right="0.2" top="0.28999999999999998" bottom="0.24" header="0.17" footer="0.17"/>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Y22"/>
  <sheetViews>
    <sheetView showGridLines="0" view="pageBreakPreview" topLeftCell="C1" zoomScale="90" zoomScaleNormal="100" zoomScaleSheetLayoutView="90" workbookViewId="0">
      <selection activeCell="U26" sqref="U26"/>
    </sheetView>
  </sheetViews>
  <sheetFormatPr defaultRowHeight="15" x14ac:dyDescent="0.25"/>
  <cols>
    <col min="1" max="1" width="3.5703125" customWidth="1"/>
    <col min="2" max="2" width="30.42578125" customWidth="1"/>
    <col min="5" max="5" width="25.85546875" customWidth="1"/>
    <col min="8" max="8" width="10.5703125" customWidth="1"/>
    <col min="9" max="9" width="23.7109375" customWidth="1"/>
    <col min="10" max="10" width="7.7109375" customWidth="1"/>
    <col min="11" max="11" width="11.85546875" customWidth="1"/>
    <col min="12" max="12" width="12" customWidth="1"/>
    <col min="13" max="13" width="8.140625" customWidth="1"/>
    <col min="14" max="14" width="11.85546875" customWidth="1"/>
    <col min="18" max="18" width="13.42578125" customWidth="1"/>
    <col min="22" max="22" width="11.7109375" customWidth="1"/>
    <col min="25" max="25" width="31.42578125" customWidth="1"/>
  </cols>
  <sheetData>
    <row r="1" spans="2:25" ht="18.75" customHeight="1" x14ac:dyDescent="0.25"/>
    <row r="2" spans="2:25" ht="18" x14ac:dyDescent="0.25">
      <c r="B2" s="301" t="s">
        <v>578</v>
      </c>
      <c r="C2" s="299"/>
      <c r="D2" s="301"/>
      <c r="E2" s="299"/>
      <c r="F2" s="299"/>
      <c r="G2" s="299"/>
      <c r="H2" s="299"/>
      <c r="I2" s="299"/>
      <c r="J2" s="299"/>
      <c r="K2" s="299"/>
      <c r="L2" s="299"/>
      <c r="M2" s="299"/>
      <c r="N2" s="460"/>
      <c r="O2" s="461"/>
      <c r="P2" s="460"/>
      <c r="Q2" s="460"/>
      <c r="R2" s="460"/>
      <c r="S2" s="461"/>
      <c r="T2" s="460"/>
      <c r="U2" s="460"/>
      <c r="V2" s="460"/>
      <c r="W2" s="460"/>
      <c r="X2" s="460"/>
      <c r="Y2" s="299"/>
    </row>
    <row r="3" spans="2:25" ht="15.75" x14ac:dyDescent="0.25">
      <c r="B3" s="459" t="s">
        <v>1</v>
      </c>
      <c r="C3" s="456"/>
      <c r="D3" s="456"/>
      <c r="E3" s="456"/>
      <c r="F3" s="456"/>
      <c r="G3" s="456"/>
      <c r="H3" s="456"/>
      <c r="I3" s="456"/>
      <c r="J3" s="456"/>
      <c r="K3" s="456"/>
      <c r="L3" s="456"/>
      <c r="M3" s="456"/>
      <c r="N3" s="456"/>
      <c r="O3" s="456"/>
      <c r="P3" s="456"/>
      <c r="Q3" s="456"/>
      <c r="R3" s="456"/>
      <c r="S3" s="456"/>
      <c r="T3" s="456"/>
      <c r="U3" s="456"/>
      <c r="V3" s="456"/>
      <c r="W3" s="456"/>
      <c r="X3" s="456"/>
      <c r="Y3" s="456"/>
    </row>
    <row r="4" spans="2:25" ht="15.75" thickBot="1" x14ac:dyDescent="0.3">
      <c r="B4" s="456"/>
      <c r="C4" s="456"/>
      <c r="D4" s="456"/>
      <c r="E4" s="456"/>
      <c r="F4" s="456"/>
      <c r="G4" s="456"/>
      <c r="H4" s="456"/>
      <c r="I4" s="456"/>
      <c r="J4" s="456"/>
      <c r="K4" s="456"/>
      <c r="L4" s="456"/>
      <c r="M4" s="456"/>
      <c r="N4" s="456"/>
      <c r="O4" s="456"/>
      <c r="P4" s="456"/>
      <c r="Q4" s="456"/>
      <c r="R4" s="456"/>
      <c r="S4" s="456"/>
      <c r="T4" s="456"/>
      <c r="U4" s="456"/>
      <c r="V4" s="456"/>
      <c r="W4" s="456"/>
      <c r="X4" s="456"/>
      <c r="Y4" s="456"/>
    </row>
    <row r="5" spans="2:25" ht="15.75" thickBot="1" x14ac:dyDescent="0.3">
      <c r="B5" s="455" t="s">
        <v>322</v>
      </c>
      <c r="C5" s="454"/>
      <c r="D5" s="454"/>
      <c r="E5" s="454"/>
      <c r="F5" s="454"/>
      <c r="G5" s="454"/>
      <c r="H5" s="454"/>
      <c r="I5" s="454"/>
      <c r="J5" s="454"/>
      <c r="K5" s="454"/>
      <c r="L5" s="454"/>
      <c r="M5" s="454"/>
      <c r="N5" s="1012" t="s">
        <v>324</v>
      </c>
      <c r="O5" s="1013"/>
      <c r="P5" s="1013"/>
      <c r="Q5" s="1014"/>
      <c r="R5" s="1012" t="s">
        <v>323</v>
      </c>
      <c r="S5" s="1013"/>
      <c r="T5" s="1013"/>
      <c r="U5" s="1014"/>
      <c r="V5" s="1015" t="s">
        <v>320</v>
      </c>
      <c r="W5" s="1016"/>
      <c r="X5" s="1016"/>
      <c r="Y5" s="1017"/>
    </row>
    <row r="6" spans="2:25" x14ac:dyDescent="0.25">
      <c r="B6" s="997" t="s">
        <v>319</v>
      </c>
      <c r="C6" s="999" t="s">
        <v>318</v>
      </c>
      <c r="D6" s="999" t="s">
        <v>317</v>
      </c>
      <c r="E6" s="999" t="s">
        <v>316</v>
      </c>
      <c r="F6" s="1001" t="s">
        <v>315</v>
      </c>
      <c r="G6" s="999" t="s">
        <v>4</v>
      </c>
      <c r="H6" s="999" t="s">
        <v>202</v>
      </c>
      <c r="I6" s="999" t="s">
        <v>314</v>
      </c>
      <c r="J6" s="999" t="s">
        <v>313</v>
      </c>
      <c r="K6" s="1005" t="s">
        <v>312</v>
      </c>
      <c r="L6" s="1006"/>
      <c r="M6" s="1007"/>
      <c r="N6" s="1018" t="s">
        <v>311</v>
      </c>
      <c r="O6" s="1010" t="s">
        <v>308</v>
      </c>
      <c r="P6" s="987" t="s">
        <v>310</v>
      </c>
      <c r="Q6" s="989" t="s">
        <v>306</v>
      </c>
      <c r="R6" s="991" t="s">
        <v>309</v>
      </c>
      <c r="S6" s="987" t="s">
        <v>308</v>
      </c>
      <c r="T6" s="993" t="s">
        <v>307</v>
      </c>
      <c r="U6" s="989" t="s">
        <v>306</v>
      </c>
      <c r="V6" s="995" t="s">
        <v>305</v>
      </c>
      <c r="W6" s="1003" t="s">
        <v>304</v>
      </c>
      <c r="X6" s="1003" t="s">
        <v>303</v>
      </c>
      <c r="Y6" s="985" t="s">
        <v>302</v>
      </c>
    </row>
    <row r="7" spans="2:25" ht="26.25" thickBot="1" x14ac:dyDescent="0.3">
      <c r="B7" s="998"/>
      <c r="C7" s="1000"/>
      <c r="D7" s="1000"/>
      <c r="E7" s="1000"/>
      <c r="F7" s="1002"/>
      <c r="G7" s="1000"/>
      <c r="H7" s="1000"/>
      <c r="I7" s="1000"/>
      <c r="J7" s="1000"/>
      <c r="K7" s="453" t="s">
        <v>301</v>
      </c>
      <c r="L7" s="452" t="s">
        <v>300</v>
      </c>
      <c r="M7" s="451" t="s">
        <v>299</v>
      </c>
      <c r="N7" s="1009"/>
      <c r="O7" s="1011"/>
      <c r="P7" s="988"/>
      <c r="Q7" s="990"/>
      <c r="R7" s="992"/>
      <c r="S7" s="988"/>
      <c r="T7" s="994"/>
      <c r="U7" s="990"/>
      <c r="V7" s="996"/>
      <c r="W7" s="1004"/>
      <c r="X7" s="1004"/>
      <c r="Y7" s="986"/>
    </row>
    <row r="8" spans="2:25" ht="40.5" customHeight="1" thickBot="1" x14ac:dyDescent="0.3">
      <c r="B8" s="840" t="s">
        <v>821</v>
      </c>
      <c r="C8" s="841" t="s">
        <v>40</v>
      </c>
      <c r="D8" s="841" t="s">
        <v>40</v>
      </c>
      <c r="E8" s="842" t="s">
        <v>710</v>
      </c>
      <c r="F8" s="843" t="s">
        <v>704</v>
      </c>
      <c r="G8" s="843" t="s">
        <v>595</v>
      </c>
      <c r="H8" s="841">
        <v>2799</v>
      </c>
      <c r="I8" s="844" t="s">
        <v>711</v>
      </c>
      <c r="J8" s="841"/>
      <c r="K8" s="920">
        <v>39427</v>
      </c>
      <c r="L8" s="920">
        <v>42714</v>
      </c>
      <c r="M8" s="346">
        <v>9</v>
      </c>
      <c r="N8" s="448">
        <v>386300</v>
      </c>
      <c r="O8" s="447"/>
      <c r="P8" s="446">
        <v>0</v>
      </c>
      <c r="Q8" s="445"/>
      <c r="R8" s="916">
        <v>482875</v>
      </c>
      <c r="S8" s="447"/>
      <c r="T8" s="446">
        <v>0</v>
      </c>
      <c r="U8" s="445"/>
      <c r="V8" s="444">
        <f>R8-N8</f>
        <v>96575</v>
      </c>
      <c r="W8" s="443">
        <v>0</v>
      </c>
      <c r="X8" s="442">
        <v>0</v>
      </c>
      <c r="Y8" s="983" t="s">
        <v>828</v>
      </c>
    </row>
    <row r="9" spans="2:25" ht="47.25" customHeight="1" x14ac:dyDescent="0.25">
      <c r="B9" s="840" t="s">
        <v>821</v>
      </c>
      <c r="C9" s="440" t="s">
        <v>40</v>
      </c>
      <c r="D9" s="440" t="s">
        <v>40</v>
      </c>
      <c r="E9" s="845" t="s">
        <v>710</v>
      </c>
      <c r="F9" s="835" t="s">
        <v>704</v>
      </c>
      <c r="G9" s="835" t="s">
        <v>595</v>
      </c>
      <c r="H9" s="440">
        <v>2799</v>
      </c>
      <c r="I9" s="440" t="s">
        <v>712</v>
      </c>
      <c r="J9" s="440"/>
      <c r="K9" s="920">
        <v>39427</v>
      </c>
      <c r="L9" s="920">
        <v>42714</v>
      </c>
      <c r="M9" s="346">
        <v>9</v>
      </c>
      <c r="N9" s="438">
        <v>497400</v>
      </c>
      <c r="O9" s="437"/>
      <c r="P9" s="436">
        <v>0</v>
      </c>
      <c r="Q9" s="435"/>
      <c r="R9" s="916">
        <v>662004</v>
      </c>
      <c r="S9" s="437"/>
      <c r="T9" s="436">
        <v>0</v>
      </c>
      <c r="U9" s="435"/>
      <c r="V9" s="434">
        <f>R9-N9</f>
        <v>164604</v>
      </c>
      <c r="W9" s="433">
        <v>0</v>
      </c>
      <c r="X9" s="432">
        <v>0</v>
      </c>
      <c r="Y9" s="984"/>
    </row>
    <row r="10" spans="2:25" ht="72" customHeight="1" x14ac:dyDescent="0.25">
      <c r="B10" s="840" t="s">
        <v>821</v>
      </c>
      <c r="C10" s="439" t="s">
        <v>40</v>
      </c>
      <c r="D10" s="439" t="s">
        <v>40</v>
      </c>
      <c r="E10" s="838" t="s">
        <v>826</v>
      </c>
      <c r="F10" s="835" t="s">
        <v>704</v>
      </c>
      <c r="G10" s="835" t="s">
        <v>595</v>
      </c>
      <c r="H10" s="440">
        <v>2799</v>
      </c>
      <c r="I10" s="440" t="s">
        <v>712</v>
      </c>
      <c r="J10" s="439"/>
      <c r="K10" s="920">
        <v>39427</v>
      </c>
      <c r="L10" s="920">
        <v>42714</v>
      </c>
      <c r="M10" s="346">
        <v>9</v>
      </c>
      <c r="N10" s="438">
        <v>65000</v>
      </c>
      <c r="O10" s="437"/>
      <c r="P10" s="436">
        <v>0</v>
      </c>
      <c r="Q10" s="435"/>
      <c r="R10" s="918">
        <v>0</v>
      </c>
      <c r="S10" s="437"/>
      <c r="T10" s="436">
        <v>0</v>
      </c>
      <c r="U10" s="435"/>
      <c r="V10" s="434">
        <f>R10-N10</f>
        <v>-65000</v>
      </c>
      <c r="W10" s="433">
        <v>0</v>
      </c>
      <c r="X10" s="432">
        <v>0</v>
      </c>
      <c r="Y10" s="847" t="s">
        <v>827</v>
      </c>
    </row>
    <row r="11" spans="2:25" ht="15.75" thickBot="1" x14ac:dyDescent="0.3">
      <c r="B11" s="430"/>
      <c r="C11" s="428"/>
      <c r="D11" s="428"/>
      <c r="E11" s="428"/>
      <c r="F11" s="429"/>
      <c r="G11" s="428"/>
      <c r="H11" s="428"/>
      <c r="I11" s="428"/>
      <c r="J11" s="428"/>
      <c r="K11" s="428"/>
      <c r="L11" s="428"/>
      <c r="M11" s="428"/>
      <c r="N11" s="427"/>
      <c r="O11" s="426"/>
      <c r="P11" s="425">
        <v>0</v>
      </c>
      <c r="Q11" s="424"/>
      <c r="R11" s="427"/>
      <c r="S11" s="426"/>
      <c r="T11" s="425">
        <v>0</v>
      </c>
      <c r="U11" s="424"/>
      <c r="V11" s="423">
        <v>0</v>
      </c>
      <c r="W11" s="422">
        <v>0</v>
      </c>
      <c r="X11" s="421">
        <v>0</v>
      </c>
      <c r="Y11" s="420"/>
    </row>
    <row r="12" spans="2:25" ht="15.75" thickBot="1" x14ac:dyDescent="0.3">
      <c r="B12" s="44"/>
      <c r="C12" s="44"/>
      <c r="D12" s="44"/>
      <c r="E12" s="44"/>
      <c r="F12" s="44"/>
      <c r="G12" s="44"/>
      <c r="H12" s="44"/>
      <c r="I12" s="44"/>
      <c r="J12" s="44"/>
      <c r="K12" s="44"/>
      <c r="L12" s="44"/>
      <c r="M12" s="44"/>
      <c r="N12" s="418">
        <f>SUM(N8:N11)</f>
        <v>948700</v>
      </c>
      <c r="O12" s="417"/>
      <c r="P12" s="415">
        <v>0</v>
      </c>
      <c r="Q12" s="419">
        <v>0</v>
      </c>
      <c r="R12" s="418">
        <f>SUM(R8:R11)</f>
        <v>1144879</v>
      </c>
      <c r="S12" s="417"/>
      <c r="T12" s="415">
        <v>0</v>
      </c>
      <c r="U12" s="414">
        <v>0</v>
      </c>
      <c r="V12" s="416">
        <f>SUM(V8:V11)</f>
        <v>196179</v>
      </c>
      <c r="W12" s="415">
        <v>0</v>
      </c>
      <c r="X12" s="414">
        <v>0</v>
      </c>
      <c r="Y12" s="413"/>
    </row>
    <row r="13" spans="2:25" x14ac:dyDescent="0.25">
      <c r="B13" s="456"/>
      <c r="C13" s="456"/>
      <c r="D13" s="456"/>
      <c r="E13" s="456"/>
      <c r="F13" s="456"/>
      <c r="G13" s="456"/>
      <c r="H13" s="456"/>
      <c r="I13" s="456"/>
      <c r="J13" s="456"/>
      <c r="K13" s="456"/>
      <c r="L13" s="456"/>
      <c r="M13" s="456"/>
      <c r="N13" s="919"/>
      <c r="O13" s="456"/>
      <c r="P13" s="456"/>
      <c r="Q13" s="456"/>
      <c r="R13" s="456"/>
      <c r="S13" s="456"/>
      <c r="T13" s="456"/>
      <c r="U13" s="458"/>
      <c r="V13" s="456"/>
      <c r="W13" s="456"/>
      <c r="X13" s="456"/>
      <c r="Y13" s="456"/>
    </row>
    <row r="14" spans="2:25" ht="15.75" thickBot="1" x14ac:dyDescent="0.3">
      <c r="B14" s="456"/>
      <c r="C14" s="456"/>
      <c r="D14" s="457"/>
      <c r="E14" s="456"/>
      <c r="F14" s="456"/>
      <c r="G14" s="456"/>
      <c r="H14" s="456"/>
      <c r="I14" s="456"/>
      <c r="J14" s="456"/>
      <c r="K14" s="456"/>
      <c r="L14" s="456"/>
      <c r="M14" s="456"/>
      <c r="N14" s="456"/>
      <c r="O14" s="456"/>
      <c r="P14" s="456"/>
      <c r="Q14" s="456"/>
      <c r="R14" s="456"/>
      <c r="S14" s="456"/>
      <c r="T14" s="456"/>
      <c r="U14" s="456"/>
      <c r="V14" s="456"/>
      <c r="W14" s="456"/>
      <c r="X14" s="456"/>
      <c r="Y14" s="456"/>
    </row>
    <row r="15" spans="2:25" ht="15.75" thickBot="1" x14ac:dyDescent="0.3">
      <c r="B15" s="455" t="s">
        <v>345</v>
      </c>
      <c r="C15" s="454"/>
      <c r="D15" s="454"/>
      <c r="E15" s="454"/>
      <c r="F15" s="454"/>
      <c r="G15" s="454"/>
      <c r="H15" s="454"/>
      <c r="I15" s="454"/>
      <c r="J15" s="454"/>
      <c r="K15" s="454"/>
      <c r="L15" s="454"/>
      <c r="M15" s="454"/>
      <c r="N15" s="1012" t="s">
        <v>321</v>
      </c>
      <c r="O15" s="1013"/>
      <c r="P15" s="1013"/>
      <c r="Q15" s="1014"/>
      <c r="R15" s="1012" t="s">
        <v>580</v>
      </c>
      <c r="S15" s="1013"/>
      <c r="T15" s="1013"/>
      <c r="U15" s="1014"/>
      <c r="V15" s="1015" t="s">
        <v>320</v>
      </c>
      <c r="W15" s="1016"/>
      <c r="X15" s="1016"/>
      <c r="Y15" s="1017"/>
    </row>
    <row r="16" spans="2:25" x14ac:dyDescent="0.25">
      <c r="B16" s="997" t="s">
        <v>319</v>
      </c>
      <c r="C16" s="999" t="s">
        <v>318</v>
      </c>
      <c r="D16" s="999" t="s">
        <v>317</v>
      </c>
      <c r="E16" s="999" t="s">
        <v>316</v>
      </c>
      <c r="F16" s="1001" t="s">
        <v>315</v>
      </c>
      <c r="G16" s="999" t="s">
        <v>4</v>
      </c>
      <c r="H16" s="999" t="s">
        <v>202</v>
      </c>
      <c r="I16" s="999" t="s">
        <v>314</v>
      </c>
      <c r="J16" s="999" t="s">
        <v>313</v>
      </c>
      <c r="K16" s="1005" t="s">
        <v>312</v>
      </c>
      <c r="L16" s="1006"/>
      <c r="M16" s="1007"/>
      <c r="N16" s="1008" t="s">
        <v>311</v>
      </c>
      <c r="O16" s="1010" t="s">
        <v>308</v>
      </c>
      <c r="P16" s="987" t="s">
        <v>310</v>
      </c>
      <c r="Q16" s="989" t="s">
        <v>306</v>
      </c>
      <c r="R16" s="991" t="s">
        <v>309</v>
      </c>
      <c r="S16" s="987" t="s">
        <v>308</v>
      </c>
      <c r="T16" s="993" t="s">
        <v>307</v>
      </c>
      <c r="U16" s="989" t="s">
        <v>306</v>
      </c>
      <c r="V16" s="995" t="s">
        <v>305</v>
      </c>
      <c r="W16" s="1003" t="s">
        <v>304</v>
      </c>
      <c r="X16" s="1003" t="s">
        <v>303</v>
      </c>
      <c r="Y16" s="985" t="s">
        <v>302</v>
      </c>
    </row>
    <row r="17" spans="2:25" ht="26.25" thickBot="1" x14ac:dyDescent="0.3">
      <c r="B17" s="998"/>
      <c r="C17" s="1000"/>
      <c r="D17" s="1000"/>
      <c r="E17" s="1000"/>
      <c r="F17" s="1002"/>
      <c r="G17" s="1000"/>
      <c r="H17" s="1000"/>
      <c r="I17" s="1000"/>
      <c r="J17" s="1000"/>
      <c r="K17" s="453" t="s">
        <v>301</v>
      </c>
      <c r="L17" s="452" t="s">
        <v>300</v>
      </c>
      <c r="M17" s="451" t="s">
        <v>299</v>
      </c>
      <c r="N17" s="1009"/>
      <c r="O17" s="1011"/>
      <c r="P17" s="988"/>
      <c r="Q17" s="990"/>
      <c r="R17" s="992"/>
      <c r="S17" s="988"/>
      <c r="T17" s="994"/>
      <c r="U17" s="990"/>
      <c r="V17" s="996"/>
      <c r="W17" s="1004"/>
      <c r="X17" s="1004"/>
      <c r="Y17" s="986"/>
    </row>
    <row r="18" spans="2:25" ht="26.25" x14ac:dyDescent="0.25">
      <c r="B18" s="840" t="s">
        <v>821</v>
      </c>
      <c r="C18" s="841" t="s">
        <v>40</v>
      </c>
      <c r="D18" s="841" t="s">
        <v>40</v>
      </c>
      <c r="E18" s="842" t="s">
        <v>710</v>
      </c>
      <c r="F18" s="843" t="s">
        <v>704</v>
      </c>
      <c r="G18" s="843" t="s">
        <v>595</v>
      </c>
      <c r="H18" s="841">
        <v>2799</v>
      </c>
      <c r="I18" s="844" t="s">
        <v>711</v>
      </c>
      <c r="J18" s="841"/>
      <c r="K18" s="920">
        <v>42715</v>
      </c>
      <c r="L18" s="920">
        <v>44905</v>
      </c>
      <c r="M18" s="346">
        <v>6</v>
      </c>
      <c r="N18" s="916">
        <v>482875</v>
      </c>
      <c r="O18" s="447"/>
      <c r="P18" s="446">
        <v>0</v>
      </c>
      <c r="Q18" s="445"/>
      <c r="R18" s="916">
        <v>482875</v>
      </c>
      <c r="S18" s="447"/>
      <c r="T18" s="446">
        <v>0</v>
      </c>
      <c r="U18" s="445"/>
      <c r="V18" s="444">
        <f>R18-N18</f>
        <v>0</v>
      </c>
      <c r="W18" s="443">
        <v>0</v>
      </c>
      <c r="X18" s="442">
        <v>0</v>
      </c>
      <c r="Y18" s="847"/>
    </row>
    <row r="19" spans="2:25" x14ac:dyDescent="0.25">
      <c r="B19" s="840" t="s">
        <v>821</v>
      </c>
      <c r="C19" s="440" t="s">
        <v>40</v>
      </c>
      <c r="D19" s="440" t="s">
        <v>40</v>
      </c>
      <c r="E19" s="845" t="s">
        <v>710</v>
      </c>
      <c r="F19" s="835" t="s">
        <v>704</v>
      </c>
      <c r="G19" s="835" t="s">
        <v>595</v>
      </c>
      <c r="H19" s="440">
        <v>2799</v>
      </c>
      <c r="I19" s="440" t="s">
        <v>712</v>
      </c>
      <c r="J19" s="440"/>
      <c r="K19" s="440"/>
      <c r="L19" s="440"/>
      <c r="M19" s="846"/>
      <c r="N19" s="922">
        <v>662004</v>
      </c>
      <c r="O19" s="923"/>
      <c r="P19" s="924">
        <v>0</v>
      </c>
      <c r="Q19" s="925"/>
      <c r="R19" s="922">
        <v>662004</v>
      </c>
      <c r="S19" s="437"/>
      <c r="T19" s="436">
        <v>0</v>
      </c>
      <c r="U19" s="435"/>
      <c r="V19" s="921">
        <f>R19-N19</f>
        <v>0</v>
      </c>
      <c r="W19" s="433">
        <v>0</v>
      </c>
      <c r="X19" s="432">
        <v>0</v>
      </c>
      <c r="Y19" s="847"/>
    </row>
    <row r="20" spans="2:25" x14ac:dyDescent="0.25">
      <c r="B20" s="840"/>
      <c r="C20" s="439"/>
      <c r="D20" s="439"/>
      <c r="E20" s="439"/>
      <c r="F20" s="440"/>
      <c r="G20" s="439"/>
      <c r="H20" s="439"/>
      <c r="I20" s="439"/>
      <c r="J20" s="439"/>
      <c r="K20" s="439"/>
      <c r="L20" s="439"/>
      <c r="M20" s="439"/>
      <c r="N20" s="438"/>
      <c r="O20" s="437"/>
      <c r="P20" s="436"/>
      <c r="Q20" s="435"/>
      <c r="R20" s="438"/>
      <c r="S20" s="437"/>
      <c r="T20" s="436"/>
      <c r="U20" s="435"/>
      <c r="V20" s="434"/>
      <c r="W20" s="433"/>
      <c r="X20" s="432"/>
      <c r="Y20" s="847"/>
    </row>
    <row r="21" spans="2:25" ht="15.75" thickBot="1" x14ac:dyDescent="0.3">
      <c r="B21" s="44"/>
      <c r="C21" s="44"/>
      <c r="D21" s="44"/>
      <c r="E21" s="44"/>
      <c r="F21" s="44"/>
      <c r="G21" s="44"/>
      <c r="H21" s="44"/>
      <c r="I21" s="44"/>
      <c r="J21" s="44"/>
      <c r="K21" s="44"/>
      <c r="L21" s="44"/>
      <c r="M21" s="44"/>
      <c r="N21" s="427"/>
      <c r="O21" s="426"/>
      <c r="P21" s="425">
        <v>0</v>
      </c>
      <c r="Q21" s="424"/>
      <c r="R21" s="427"/>
      <c r="S21" s="426"/>
      <c r="T21" s="425">
        <v>0</v>
      </c>
      <c r="U21" s="424"/>
      <c r="V21" s="423">
        <v>0</v>
      </c>
      <c r="W21" s="422">
        <v>0</v>
      </c>
      <c r="X21" s="421">
        <v>0</v>
      </c>
      <c r="Y21" s="420"/>
    </row>
    <row r="22" spans="2:25" ht="15.75" thickBot="1" x14ac:dyDescent="0.3">
      <c r="N22" s="418">
        <f>SUM(N18:N21)</f>
        <v>1144879</v>
      </c>
      <c r="O22" s="417"/>
      <c r="P22" s="415">
        <v>0</v>
      </c>
      <c r="Q22" s="419">
        <v>0</v>
      </c>
      <c r="R22" s="418">
        <f>SUM(R18:R21)</f>
        <v>1144879</v>
      </c>
      <c r="S22" s="417"/>
      <c r="T22" s="415">
        <v>0</v>
      </c>
      <c r="U22" s="414">
        <v>0</v>
      </c>
      <c r="V22" s="416">
        <f>SUM(V18:V21)</f>
        <v>0</v>
      </c>
      <c r="W22" s="415">
        <v>0</v>
      </c>
      <c r="X22" s="414">
        <v>0</v>
      </c>
      <c r="Y22" s="413"/>
    </row>
  </sheetData>
  <mergeCells count="51">
    <mergeCell ref="N5:Q5"/>
    <mergeCell ref="R5:U5"/>
    <mergeCell ref="V5:Y5"/>
    <mergeCell ref="B6:B7"/>
    <mergeCell ref="C6:C7"/>
    <mergeCell ref="D6:D7"/>
    <mergeCell ref="E6:E7"/>
    <mergeCell ref="F6:F7"/>
    <mergeCell ref="G6:G7"/>
    <mergeCell ref="H6:H7"/>
    <mergeCell ref="Y6:Y7"/>
    <mergeCell ref="N6:N7"/>
    <mergeCell ref="O6:O7"/>
    <mergeCell ref="W6:W7"/>
    <mergeCell ref="V6:V7"/>
    <mergeCell ref="P6:P7"/>
    <mergeCell ref="Q6:Q7"/>
    <mergeCell ref="R6:R7"/>
    <mergeCell ref="S6:S7"/>
    <mergeCell ref="T6:T7"/>
    <mergeCell ref="U6:U7"/>
    <mergeCell ref="G16:G17"/>
    <mergeCell ref="H16:H17"/>
    <mergeCell ref="I16:I17"/>
    <mergeCell ref="J16:J17"/>
    <mergeCell ref="X6:X7"/>
    <mergeCell ref="I6:I7"/>
    <mergeCell ref="J6:J7"/>
    <mergeCell ref="K6:M6"/>
    <mergeCell ref="W16:W17"/>
    <mergeCell ref="X16:X17"/>
    <mergeCell ref="K16:M16"/>
    <mergeCell ref="N16:N17"/>
    <mergeCell ref="O16:O17"/>
    <mergeCell ref="N15:Q15"/>
    <mergeCell ref="R15:U15"/>
    <mergeCell ref="V15:Y15"/>
    <mergeCell ref="B16:B17"/>
    <mergeCell ref="C16:C17"/>
    <mergeCell ref="D16:D17"/>
    <mergeCell ref="E16:E17"/>
    <mergeCell ref="F16:F17"/>
    <mergeCell ref="Y8:Y9"/>
    <mergeCell ref="Y16:Y17"/>
    <mergeCell ref="P16:P17"/>
    <mergeCell ref="Q16:Q17"/>
    <mergeCell ref="R16:R17"/>
    <mergeCell ref="S16:S17"/>
    <mergeCell ref="T16:T17"/>
    <mergeCell ref="U16:U17"/>
    <mergeCell ref="V16:V17"/>
  </mergeCells>
  <pageMargins left="0.2" right="0.2" top="0.35" bottom="0.26" header="0.3" footer="0.17"/>
  <pageSetup scale="4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Y30"/>
  <sheetViews>
    <sheetView view="pageBreakPreview" zoomScale="90" zoomScaleNormal="100" zoomScaleSheetLayoutView="90" workbookViewId="0">
      <selection activeCell="V17" sqref="V17"/>
    </sheetView>
  </sheetViews>
  <sheetFormatPr defaultColWidth="9.140625" defaultRowHeight="12.75" x14ac:dyDescent="0.2"/>
  <cols>
    <col min="1" max="1" width="6" style="462" customWidth="1"/>
    <col min="2" max="2" width="11.42578125" style="462" customWidth="1"/>
    <col min="3" max="3" width="9.28515625" style="462" customWidth="1"/>
    <col min="4" max="4" width="9.5703125" style="462" customWidth="1"/>
    <col min="5" max="5" width="16.42578125" style="462" customWidth="1"/>
    <col min="6" max="6" width="6.42578125" style="462" customWidth="1"/>
    <col min="7" max="7" width="9.7109375" style="462" customWidth="1"/>
    <col min="8" max="8" width="10.5703125" style="462" bestFit="1" customWidth="1"/>
    <col min="9" max="9" width="14.7109375" style="462" customWidth="1"/>
    <col min="10" max="10" width="5.85546875" style="462" customWidth="1"/>
    <col min="11" max="12" width="12" style="462" customWidth="1"/>
    <col min="13" max="13" width="8.140625" style="462" customWidth="1"/>
    <col min="14" max="14" width="13" style="463" customWidth="1"/>
    <col min="15" max="15" width="6" style="464" customWidth="1"/>
    <col min="16" max="16" width="9.28515625" style="463" customWidth="1"/>
    <col min="17" max="17" width="8.85546875" style="463" customWidth="1"/>
    <col min="18" max="18" width="15.42578125" style="464" customWidth="1"/>
    <col min="19" max="19" width="5.85546875" style="463" customWidth="1"/>
    <col min="20" max="20" width="11" style="463" customWidth="1"/>
    <col min="21" max="21" width="8.7109375" style="463" customWidth="1"/>
    <col min="22" max="22" width="11.42578125" style="462" customWidth="1"/>
    <col min="23" max="23" width="9.140625" style="462"/>
    <col min="24" max="24" width="8.42578125" style="462" customWidth="1"/>
    <col min="25" max="25" width="23.28515625" style="462" customWidth="1"/>
    <col min="26" max="16384" width="9.140625" style="462"/>
  </cols>
  <sheetData>
    <row r="1" spans="2:25" ht="19.5" customHeight="1" x14ac:dyDescent="0.2"/>
    <row r="2" spans="2:25" ht="18" x14ac:dyDescent="0.25">
      <c r="B2" s="301" t="s">
        <v>579</v>
      </c>
      <c r="D2" s="475"/>
    </row>
    <row r="3" spans="2:25" ht="21.75" customHeight="1" x14ac:dyDescent="0.2">
      <c r="B3" s="459" t="s">
        <v>1</v>
      </c>
    </row>
    <row r="4" spans="2:25" ht="13.5" thickBot="1" x14ac:dyDescent="0.25"/>
    <row r="5" spans="2:25" s="481" customFormat="1" ht="57" customHeight="1" thickBot="1" x14ac:dyDescent="0.3">
      <c r="B5" s="1012" t="s">
        <v>322</v>
      </c>
      <c r="C5" s="1013"/>
      <c r="D5" s="1013"/>
      <c r="E5" s="1013"/>
      <c r="F5" s="1013"/>
      <c r="G5" s="1013"/>
      <c r="H5" s="1013"/>
      <c r="I5" s="1013"/>
      <c r="J5" s="1013"/>
      <c r="K5" s="1013"/>
      <c r="L5" s="1013"/>
      <c r="M5" s="1014"/>
      <c r="N5" s="1012" t="s">
        <v>324</v>
      </c>
      <c r="O5" s="1013"/>
      <c r="P5" s="1013"/>
      <c r="Q5" s="1014"/>
      <c r="R5" s="1012" t="s">
        <v>323</v>
      </c>
      <c r="S5" s="1013"/>
      <c r="T5" s="1013"/>
      <c r="U5" s="1014"/>
      <c r="V5" s="1015" t="s">
        <v>344</v>
      </c>
      <c r="W5" s="1016"/>
      <c r="X5" s="1016"/>
      <c r="Y5" s="1017"/>
    </row>
    <row r="6" spans="2:25" s="486" customFormat="1" ht="27" customHeight="1" x14ac:dyDescent="0.25">
      <c r="B6" s="997" t="s">
        <v>319</v>
      </c>
      <c r="C6" s="999" t="s">
        <v>318</v>
      </c>
      <c r="D6" s="999" t="s">
        <v>343</v>
      </c>
      <c r="E6" s="999" t="s">
        <v>316</v>
      </c>
      <c r="F6" s="1001" t="s">
        <v>315</v>
      </c>
      <c r="G6" s="999" t="s">
        <v>4</v>
      </c>
      <c r="H6" s="999" t="s">
        <v>342</v>
      </c>
      <c r="I6" s="999" t="s">
        <v>314</v>
      </c>
      <c r="J6" s="999" t="s">
        <v>313</v>
      </c>
      <c r="K6" s="1005" t="s">
        <v>312</v>
      </c>
      <c r="L6" s="1006"/>
      <c r="M6" s="1007"/>
      <c r="N6" s="1008" t="s">
        <v>311</v>
      </c>
      <c r="O6" s="1010" t="s">
        <v>308</v>
      </c>
      <c r="P6" s="987" t="s">
        <v>310</v>
      </c>
      <c r="Q6" s="989" t="s">
        <v>306</v>
      </c>
      <c r="R6" s="991" t="s">
        <v>309</v>
      </c>
      <c r="S6" s="987" t="s">
        <v>308</v>
      </c>
      <c r="T6" s="993" t="s">
        <v>307</v>
      </c>
      <c r="U6" s="989" t="s">
        <v>306</v>
      </c>
      <c r="V6" s="995" t="s">
        <v>305</v>
      </c>
      <c r="W6" s="1003" t="s">
        <v>304</v>
      </c>
      <c r="X6" s="1003" t="s">
        <v>303</v>
      </c>
      <c r="Y6" s="985" t="s">
        <v>302</v>
      </c>
    </row>
    <row r="7" spans="2:25" s="485" customFormat="1" ht="27" customHeight="1" thickBot="1" x14ac:dyDescent="0.3">
      <c r="B7" s="998"/>
      <c r="C7" s="1000"/>
      <c r="D7" s="1000"/>
      <c r="E7" s="1000"/>
      <c r="F7" s="1002"/>
      <c r="G7" s="1000"/>
      <c r="H7" s="1000"/>
      <c r="I7" s="1000"/>
      <c r="J7" s="1000"/>
      <c r="K7" s="453" t="s">
        <v>301</v>
      </c>
      <c r="L7" s="452" t="s">
        <v>300</v>
      </c>
      <c r="M7" s="451" t="s">
        <v>299</v>
      </c>
      <c r="N7" s="1009"/>
      <c r="O7" s="1011"/>
      <c r="P7" s="988"/>
      <c r="Q7" s="990"/>
      <c r="R7" s="992"/>
      <c r="S7" s="988"/>
      <c r="T7" s="994"/>
      <c r="U7" s="990"/>
      <c r="V7" s="996"/>
      <c r="W7" s="1004"/>
      <c r="X7" s="1004"/>
      <c r="Y7" s="986"/>
    </row>
    <row r="8" spans="2:25" s="476" customFormat="1" ht="78" customHeight="1" x14ac:dyDescent="0.2">
      <c r="B8" s="450" t="s">
        <v>702</v>
      </c>
      <c r="C8" s="449" t="s">
        <v>40</v>
      </c>
      <c r="D8" s="449" t="s">
        <v>40</v>
      </c>
      <c r="E8" s="834" t="s">
        <v>703</v>
      </c>
      <c r="F8" s="835" t="s">
        <v>704</v>
      </c>
      <c r="G8" s="835" t="s">
        <v>595</v>
      </c>
      <c r="H8" s="440">
        <v>2761</v>
      </c>
      <c r="I8" s="836" t="s">
        <v>705</v>
      </c>
      <c r="J8" s="449"/>
      <c r="K8" s="449"/>
      <c r="L8" s="449"/>
      <c r="M8" s="449"/>
      <c r="N8" s="448">
        <v>223910.2</v>
      </c>
      <c r="O8" s="447"/>
      <c r="P8" s="446">
        <f t="shared" ref="P8:P10" si="0">N8*O8</f>
        <v>0</v>
      </c>
      <c r="Q8" s="478"/>
      <c r="R8" s="448">
        <v>239583.7</v>
      </c>
      <c r="S8" s="447"/>
      <c r="T8" s="446">
        <f t="shared" ref="T8:T10" si="1">R8*S8</f>
        <v>0</v>
      </c>
      <c r="U8" s="478"/>
      <c r="V8" s="444">
        <f t="shared" ref="V8:V10" si="2">R8-N8</f>
        <v>15673.5</v>
      </c>
      <c r="W8" s="443">
        <f t="shared" ref="W8:W10" si="3">T8-P8</f>
        <v>0</v>
      </c>
      <c r="X8" s="484">
        <f t="shared" ref="X8:X10" si="4">U8-Q8</f>
        <v>0</v>
      </c>
      <c r="Y8" s="837" t="s">
        <v>706</v>
      </c>
    </row>
    <row r="9" spans="2:25" ht="63" customHeight="1" x14ac:dyDescent="0.2">
      <c r="B9" s="441" t="s">
        <v>707</v>
      </c>
      <c r="C9" s="439" t="s">
        <v>40</v>
      </c>
      <c r="D9" s="439" t="s">
        <v>40</v>
      </c>
      <c r="E9" s="838" t="s">
        <v>708</v>
      </c>
      <c r="F9" s="835" t="s">
        <v>704</v>
      </c>
      <c r="G9" s="835" t="s">
        <v>595</v>
      </c>
      <c r="H9" s="440">
        <v>2761</v>
      </c>
      <c r="I9" s="836" t="s">
        <v>709</v>
      </c>
      <c r="J9" s="439"/>
      <c r="K9" s="439"/>
      <c r="L9" s="439"/>
      <c r="M9" s="439"/>
      <c r="N9" s="438">
        <v>49887.85</v>
      </c>
      <c r="O9" s="437"/>
      <c r="P9" s="436">
        <f t="shared" si="0"/>
        <v>0</v>
      </c>
      <c r="Q9" s="474"/>
      <c r="R9" s="438">
        <v>52382</v>
      </c>
      <c r="S9" s="437"/>
      <c r="T9" s="436">
        <f t="shared" si="1"/>
        <v>0</v>
      </c>
      <c r="U9" s="474"/>
      <c r="V9" s="434">
        <f t="shared" si="2"/>
        <v>2494.1500000000015</v>
      </c>
      <c r="W9" s="433">
        <f t="shared" si="3"/>
        <v>0</v>
      </c>
      <c r="X9" s="483">
        <f t="shared" si="4"/>
        <v>0</v>
      </c>
      <c r="Y9" s="837" t="s">
        <v>706</v>
      </c>
    </row>
    <row r="10" spans="2:25" ht="17.25" customHeight="1" thickBot="1" x14ac:dyDescent="0.25">
      <c r="B10" s="441"/>
      <c r="C10" s="439"/>
      <c r="D10" s="439"/>
      <c r="E10" s="439"/>
      <c r="F10" s="440"/>
      <c r="G10" s="439"/>
      <c r="H10" s="439"/>
      <c r="I10" s="439"/>
      <c r="J10" s="439"/>
      <c r="K10" s="439"/>
      <c r="L10" s="439"/>
      <c r="M10" s="439"/>
      <c r="N10" s="438"/>
      <c r="O10" s="437"/>
      <c r="P10" s="436">
        <f t="shared" si="0"/>
        <v>0</v>
      </c>
      <c r="Q10" s="474"/>
      <c r="R10" s="438"/>
      <c r="S10" s="437"/>
      <c r="T10" s="436">
        <f t="shared" si="1"/>
        <v>0</v>
      </c>
      <c r="U10" s="474"/>
      <c r="V10" s="434">
        <f t="shared" si="2"/>
        <v>0</v>
      </c>
      <c r="W10" s="433">
        <f t="shared" si="3"/>
        <v>0</v>
      </c>
      <c r="X10" s="483">
        <f t="shared" si="4"/>
        <v>0</v>
      </c>
      <c r="Y10" s="431"/>
    </row>
    <row r="11" spans="2:25" ht="17.25" customHeight="1" thickBot="1" x14ac:dyDescent="0.25">
      <c r="B11" s="44"/>
      <c r="C11" s="44"/>
      <c r="D11" s="44"/>
      <c r="E11" s="44"/>
      <c r="F11" s="44"/>
      <c r="G11" s="44"/>
      <c r="H11" s="44"/>
      <c r="I11" s="44"/>
      <c r="J11" s="44"/>
      <c r="K11" s="44"/>
      <c r="L11" s="44"/>
      <c r="M11" s="44"/>
      <c r="N11" s="418">
        <f>SUM(N8:N10)</f>
        <v>273798.05</v>
      </c>
      <c r="O11" s="417"/>
      <c r="P11" s="415">
        <f>SUM(P8:P10)</f>
        <v>0</v>
      </c>
      <c r="Q11" s="415">
        <f>SUM(Q8:Q10)</f>
        <v>0</v>
      </c>
      <c r="R11" s="418">
        <f>SUM(R8:R10)</f>
        <v>291965.7</v>
      </c>
      <c r="S11" s="417"/>
      <c r="T11" s="415">
        <f>SUM(T8:T10)</f>
        <v>0</v>
      </c>
      <c r="U11" s="472">
        <f>SUM(U8:U10)</f>
        <v>0</v>
      </c>
      <c r="V11" s="416">
        <f>SUM(V8:V10)</f>
        <v>18167.650000000001</v>
      </c>
      <c r="W11" s="415">
        <f>SUM(W8:W10)</f>
        <v>0</v>
      </c>
      <c r="X11" s="482">
        <f>SUM(X8:X10)</f>
        <v>0</v>
      </c>
      <c r="Y11" s="413"/>
    </row>
    <row r="12" spans="2:25" ht="24.75" customHeight="1" thickBot="1" x14ac:dyDescent="0.25"/>
    <row r="13" spans="2:25" s="481" customFormat="1" ht="57" customHeight="1" thickBot="1" x14ac:dyDescent="0.3">
      <c r="B13" s="1012" t="s">
        <v>345</v>
      </c>
      <c r="C13" s="1013"/>
      <c r="D13" s="1013"/>
      <c r="E13" s="1013"/>
      <c r="F13" s="1013"/>
      <c r="G13" s="1013"/>
      <c r="H13" s="1013"/>
      <c r="I13" s="1013"/>
      <c r="J13" s="1013"/>
      <c r="K13" s="1013"/>
      <c r="L13" s="1013"/>
      <c r="M13" s="1014"/>
      <c r="N13" s="1012" t="s">
        <v>323</v>
      </c>
      <c r="O13" s="1013"/>
      <c r="P13" s="1013"/>
      <c r="Q13" s="1014"/>
      <c r="R13" s="1012" t="s">
        <v>581</v>
      </c>
      <c r="S13" s="1013"/>
      <c r="T13" s="1013"/>
      <c r="U13" s="1014"/>
      <c r="V13" s="1015" t="s">
        <v>344</v>
      </c>
      <c r="W13" s="1016"/>
      <c r="X13" s="1016"/>
      <c r="Y13" s="1017"/>
    </row>
    <row r="14" spans="2:25" s="480" customFormat="1" ht="27" customHeight="1" x14ac:dyDescent="0.2">
      <c r="B14" s="997" t="s">
        <v>319</v>
      </c>
      <c r="C14" s="999" t="s">
        <v>318</v>
      </c>
      <c r="D14" s="999" t="s">
        <v>343</v>
      </c>
      <c r="E14" s="999" t="s">
        <v>316</v>
      </c>
      <c r="F14" s="1001" t="s">
        <v>315</v>
      </c>
      <c r="G14" s="999" t="s">
        <v>4</v>
      </c>
      <c r="H14" s="999" t="s">
        <v>342</v>
      </c>
      <c r="I14" s="999" t="s">
        <v>314</v>
      </c>
      <c r="J14" s="999" t="s">
        <v>313</v>
      </c>
      <c r="K14" s="1005" t="s">
        <v>312</v>
      </c>
      <c r="L14" s="1006"/>
      <c r="M14" s="1007"/>
      <c r="N14" s="1008" t="s">
        <v>311</v>
      </c>
      <c r="O14" s="1010" t="s">
        <v>308</v>
      </c>
      <c r="P14" s="987" t="s">
        <v>310</v>
      </c>
      <c r="Q14" s="989" t="s">
        <v>306</v>
      </c>
      <c r="R14" s="991" t="s">
        <v>309</v>
      </c>
      <c r="S14" s="987" t="s">
        <v>308</v>
      </c>
      <c r="T14" s="993" t="s">
        <v>307</v>
      </c>
      <c r="U14" s="989" t="s">
        <v>306</v>
      </c>
      <c r="V14" s="995" t="s">
        <v>305</v>
      </c>
      <c r="W14" s="1003" t="s">
        <v>304</v>
      </c>
      <c r="X14" s="1003" t="s">
        <v>303</v>
      </c>
      <c r="Y14" s="985" t="s">
        <v>302</v>
      </c>
    </row>
    <row r="15" spans="2:25" s="479" customFormat="1" ht="27" customHeight="1" thickBot="1" x14ac:dyDescent="0.25">
      <c r="B15" s="998"/>
      <c r="C15" s="1000"/>
      <c r="D15" s="1000"/>
      <c r="E15" s="1000"/>
      <c r="F15" s="1002"/>
      <c r="G15" s="1000"/>
      <c r="H15" s="1000"/>
      <c r="I15" s="1000"/>
      <c r="J15" s="1000"/>
      <c r="K15" s="453" t="s">
        <v>301</v>
      </c>
      <c r="L15" s="452" t="s">
        <v>300</v>
      </c>
      <c r="M15" s="451" t="s">
        <v>299</v>
      </c>
      <c r="N15" s="1009"/>
      <c r="O15" s="1011"/>
      <c r="P15" s="988"/>
      <c r="Q15" s="990"/>
      <c r="R15" s="992"/>
      <c r="S15" s="988"/>
      <c r="T15" s="994"/>
      <c r="U15" s="990"/>
      <c r="V15" s="996"/>
      <c r="W15" s="1004"/>
      <c r="X15" s="1004"/>
      <c r="Y15" s="986"/>
    </row>
    <row r="16" spans="2:25" s="476" customFormat="1" ht="66" customHeight="1" x14ac:dyDescent="0.2">
      <c r="B16" s="450" t="s">
        <v>702</v>
      </c>
      <c r="C16" s="449" t="s">
        <v>40</v>
      </c>
      <c r="D16" s="449" t="s">
        <v>40</v>
      </c>
      <c r="E16" s="834" t="s">
        <v>703</v>
      </c>
      <c r="F16" s="835" t="s">
        <v>704</v>
      </c>
      <c r="G16" s="835" t="s">
        <v>595</v>
      </c>
      <c r="H16" s="440">
        <v>2761</v>
      </c>
      <c r="I16" s="836" t="s">
        <v>705</v>
      </c>
      <c r="J16" s="449"/>
      <c r="K16" s="449"/>
      <c r="L16" s="449"/>
      <c r="M16" s="449"/>
      <c r="N16" s="448">
        <v>239583.7</v>
      </c>
      <c r="O16" s="447"/>
      <c r="P16" s="446">
        <f t="shared" ref="P16:P18" si="5">N16*O16</f>
        <v>0</v>
      </c>
      <c r="Q16" s="478"/>
      <c r="R16" s="839">
        <f>(N16*0.07)+N16</f>
        <v>256354.55900000001</v>
      </c>
      <c r="S16" s="447"/>
      <c r="T16" s="446">
        <f t="shared" ref="T16:T18" si="6">R16*S16</f>
        <v>0</v>
      </c>
      <c r="U16" s="478"/>
      <c r="V16" s="444">
        <f t="shared" ref="V16:V18" si="7">R16-N16</f>
        <v>16770.858999999997</v>
      </c>
      <c r="W16" s="443">
        <f t="shared" ref="W16:W18" si="8">T16-P16</f>
        <v>0</v>
      </c>
      <c r="X16" s="477">
        <f t="shared" ref="X16:X18" si="9">U16-Q16</f>
        <v>0</v>
      </c>
      <c r="Y16" s="837" t="s">
        <v>706</v>
      </c>
    </row>
    <row r="17" spans="2:25" ht="60" customHeight="1" x14ac:dyDescent="0.2">
      <c r="B17" s="441" t="s">
        <v>707</v>
      </c>
      <c r="C17" s="439" t="s">
        <v>40</v>
      </c>
      <c r="D17" s="439" t="s">
        <v>40</v>
      </c>
      <c r="E17" s="838" t="s">
        <v>708</v>
      </c>
      <c r="F17" s="835" t="s">
        <v>704</v>
      </c>
      <c r="G17" s="835" t="s">
        <v>595</v>
      </c>
      <c r="H17" s="440">
        <v>2761</v>
      </c>
      <c r="I17" s="836" t="s">
        <v>709</v>
      </c>
      <c r="J17" s="439"/>
      <c r="K17" s="439"/>
      <c r="L17" s="439"/>
      <c r="M17" s="439"/>
      <c r="N17" s="438">
        <v>52382</v>
      </c>
      <c r="O17" s="437"/>
      <c r="P17" s="436">
        <f t="shared" si="5"/>
        <v>0</v>
      </c>
      <c r="Q17" s="474"/>
      <c r="R17" s="438">
        <f>(N17*0.05)+N17</f>
        <v>55001.1</v>
      </c>
      <c r="S17" s="437"/>
      <c r="T17" s="436">
        <f t="shared" si="6"/>
        <v>0</v>
      </c>
      <c r="U17" s="474"/>
      <c r="V17" s="434">
        <f t="shared" si="7"/>
        <v>2619.0999999999985</v>
      </c>
      <c r="W17" s="433">
        <f t="shared" si="8"/>
        <v>0</v>
      </c>
      <c r="X17" s="473">
        <f t="shared" si="9"/>
        <v>0</v>
      </c>
      <c r="Y17" s="837" t="s">
        <v>706</v>
      </c>
    </row>
    <row r="18" spans="2:25" ht="17.25" customHeight="1" thickBot="1" x14ac:dyDescent="0.25">
      <c r="B18" s="441"/>
      <c r="C18" s="439"/>
      <c r="D18" s="439"/>
      <c r="E18" s="439"/>
      <c r="F18" s="440"/>
      <c r="G18" s="439"/>
      <c r="H18" s="439"/>
      <c r="I18" s="439"/>
      <c r="J18" s="439"/>
      <c r="K18" s="439"/>
      <c r="L18" s="439"/>
      <c r="M18" s="439"/>
      <c r="N18" s="438"/>
      <c r="O18" s="437"/>
      <c r="P18" s="436">
        <f t="shared" si="5"/>
        <v>0</v>
      </c>
      <c r="Q18" s="474"/>
      <c r="R18" s="438"/>
      <c r="S18" s="437"/>
      <c r="T18" s="436">
        <f t="shared" si="6"/>
        <v>0</v>
      </c>
      <c r="U18" s="474"/>
      <c r="V18" s="434">
        <f t="shared" si="7"/>
        <v>0</v>
      </c>
      <c r="W18" s="433">
        <f t="shared" si="8"/>
        <v>0</v>
      </c>
      <c r="X18" s="473">
        <f t="shared" si="9"/>
        <v>0</v>
      </c>
      <c r="Y18" s="431"/>
    </row>
    <row r="19" spans="2:25" ht="17.25" customHeight="1" thickBot="1" x14ac:dyDescent="0.25">
      <c r="B19" s="44"/>
      <c r="C19" s="44"/>
      <c r="D19" s="44"/>
      <c r="E19" s="44"/>
      <c r="F19" s="44"/>
      <c r="G19" s="44"/>
      <c r="H19" s="44"/>
      <c r="I19" s="44"/>
      <c r="J19" s="44"/>
      <c r="K19" s="44"/>
      <c r="L19" s="44"/>
      <c r="M19" s="44"/>
      <c r="N19" s="418">
        <f>SUM(N16:N18)</f>
        <v>291965.7</v>
      </c>
      <c r="O19" s="417"/>
      <c r="P19" s="415">
        <f>SUM(P16:P18)</f>
        <v>0</v>
      </c>
      <c r="Q19" s="415">
        <f>SUM(Q16:Q18)</f>
        <v>0</v>
      </c>
      <c r="R19" s="418">
        <f>SUM(R16:R18)</f>
        <v>311355.65899999999</v>
      </c>
      <c r="S19" s="417"/>
      <c r="T19" s="415">
        <f>SUM(T16:T18)</f>
        <v>0</v>
      </c>
      <c r="U19" s="472">
        <f>SUM(U16:U18)</f>
        <v>0</v>
      </c>
      <c r="V19" s="416">
        <f>SUM(V16:V18)</f>
        <v>19389.958999999995</v>
      </c>
      <c r="W19" s="415">
        <f>SUM(W16:W18)</f>
        <v>0</v>
      </c>
      <c r="X19" s="472">
        <f>SUM(X16:X18)</f>
        <v>0</v>
      </c>
      <c r="Y19" s="413"/>
    </row>
    <row r="20" spans="2:25" ht="19.5" customHeight="1" x14ac:dyDescent="0.2"/>
    <row r="21" spans="2:25" x14ac:dyDescent="0.2">
      <c r="B21" s="471" t="s">
        <v>341</v>
      </c>
      <c r="D21" s="471"/>
      <c r="K21" s="467"/>
      <c r="L21" s="467"/>
      <c r="M21" s="467"/>
      <c r="N21" s="465"/>
      <c r="O21" s="466"/>
      <c r="P21" s="465"/>
    </row>
    <row r="22" spans="2:25" ht="9" customHeight="1" x14ac:dyDescent="0.2">
      <c r="B22" s="471"/>
      <c r="D22" s="471"/>
      <c r="K22" s="467"/>
      <c r="L22" s="467"/>
      <c r="M22" s="467"/>
      <c r="N22" s="465"/>
      <c r="O22" s="466"/>
      <c r="P22" s="465"/>
    </row>
    <row r="23" spans="2:25" x14ac:dyDescent="0.2">
      <c r="B23" s="470" t="s">
        <v>340</v>
      </c>
      <c r="C23" s="462" t="s">
        <v>339</v>
      </c>
      <c r="D23" s="468"/>
      <c r="I23" s="469" t="s">
        <v>338</v>
      </c>
      <c r="J23" s="462" t="s">
        <v>337</v>
      </c>
      <c r="M23" s="467"/>
      <c r="N23" s="465"/>
      <c r="O23" s="466"/>
      <c r="P23" s="465"/>
    </row>
    <row r="24" spans="2:25" x14ac:dyDescent="0.2">
      <c r="B24" s="470" t="s">
        <v>336</v>
      </c>
      <c r="C24" s="462" t="s">
        <v>335</v>
      </c>
      <c r="D24" s="468"/>
      <c r="I24" s="469" t="s">
        <v>334</v>
      </c>
      <c r="J24" s="462" t="s">
        <v>333</v>
      </c>
      <c r="M24" s="467"/>
      <c r="N24" s="465"/>
      <c r="O24" s="466"/>
      <c r="P24" s="465"/>
    </row>
    <row r="25" spans="2:25" x14ac:dyDescent="0.2">
      <c r="B25" s="470" t="s">
        <v>332</v>
      </c>
      <c r="C25" s="462" t="s">
        <v>331</v>
      </c>
      <c r="D25" s="468"/>
      <c r="I25" s="469" t="s">
        <v>330</v>
      </c>
      <c r="J25" s="462" t="s">
        <v>329</v>
      </c>
      <c r="M25" s="467"/>
      <c r="N25" s="465"/>
      <c r="O25" s="466"/>
      <c r="P25" s="465"/>
    </row>
    <row r="26" spans="2:25" x14ac:dyDescent="0.2">
      <c r="B26" s="470" t="s">
        <v>328</v>
      </c>
      <c r="C26" s="462" t="s">
        <v>327</v>
      </c>
      <c r="D26" s="468"/>
      <c r="I26" s="469" t="s">
        <v>326</v>
      </c>
      <c r="J26" s="462" t="s">
        <v>325</v>
      </c>
      <c r="M26" s="467"/>
      <c r="N26" s="465"/>
      <c r="O26" s="466"/>
      <c r="P26" s="465"/>
    </row>
    <row r="27" spans="2:25" x14ac:dyDescent="0.2">
      <c r="D27" s="468"/>
      <c r="K27" s="467"/>
      <c r="L27" s="467"/>
      <c r="M27" s="467"/>
      <c r="N27" s="465"/>
      <c r="O27" s="466"/>
      <c r="P27" s="465"/>
    </row>
    <row r="28" spans="2:25" x14ac:dyDescent="0.2">
      <c r="D28" s="468"/>
      <c r="K28" s="467"/>
      <c r="L28" s="467"/>
      <c r="M28" s="467"/>
      <c r="N28" s="465"/>
      <c r="O28" s="466"/>
      <c r="P28" s="465"/>
    </row>
    <row r="29" spans="2:25" x14ac:dyDescent="0.2">
      <c r="D29" s="468"/>
      <c r="K29" s="467"/>
      <c r="L29" s="467"/>
      <c r="M29" s="467"/>
      <c r="N29" s="465"/>
      <c r="O29" s="466"/>
      <c r="P29" s="465"/>
    </row>
    <row r="30" spans="2:25" x14ac:dyDescent="0.2">
      <c r="D30" s="468"/>
      <c r="K30" s="467"/>
      <c r="L30" s="467"/>
      <c r="M30" s="467"/>
      <c r="N30" s="465"/>
      <c r="O30" s="466"/>
      <c r="P30" s="465"/>
    </row>
  </sheetData>
  <mergeCells count="52">
    <mergeCell ref="B5:M5"/>
    <mergeCell ref="N5:Q5"/>
    <mergeCell ref="V6:V7"/>
    <mergeCell ref="W6:W7"/>
    <mergeCell ref="T6:T7"/>
    <mergeCell ref="U6:U7"/>
    <mergeCell ref="H6:H7"/>
    <mergeCell ref="I6:I7"/>
    <mergeCell ref="R5:U5"/>
    <mergeCell ref="V5:Y5"/>
    <mergeCell ref="B6:B7"/>
    <mergeCell ref="C6:C7"/>
    <mergeCell ref="D6:D7"/>
    <mergeCell ref="E6:E7"/>
    <mergeCell ref="F6:F7"/>
    <mergeCell ref="G6:G7"/>
    <mergeCell ref="Y6:Y7"/>
    <mergeCell ref="B13:M13"/>
    <mergeCell ref="N13:Q13"/>
    <mergeCell ref="R13:U13"/>
    <mergeCell ref="V13:Y13"/>
    <mergeCell ref="P6:P7"/>
    <mergeCell ref="Q6:Q7"/>
    <mergeCell ref="R6:R7"/>
    <mergeCell ref="S6:S7"/>
    <mergeCell ref="N6:N7"/>
    <mergeCell ref="O6:O7"/>
    <mergeCell ref="J6:J7"/>
    <mergeCell ref="K6:M6"/>
    <mergeCell ref="G14:G15"/>
    <mergeCell ref="H14:H15"/>
    <mergeCell ref="I14:I15"/>
    <mergeCell ref="J14:J15"/>
    <mergeCell ref="X6:X7"/>
    <mergeCell ref="W14:W15"/>
    <mergeCell ref="X14:X15"/>
    <mergeCell ref="K14:M14"/>
    <mergeCell ref="N14:N15"/>
    <mergeCell ref="O14:O15"/>
    <mergeCell ref="B14:B15"/>
    <mergeCell ref="C14:C15"/>
    <mergeCell ref="D14:D15"/>
    <mergeCell ref="E14:E15"/>
    <mergeCell ref="F14:F15"/>
    <mergeCell ref="Y14:Y15"/>
    <mergeCell ref="P14:P15"/>
    <mergeCell ref="Q14:Q15"/>
    <mergeCell ref="R14:R15"/>
    <mergeCell ref="S14:S15"/>
    <mergeCell ref="T14:T15"/>
    <mergeCell ref="U14:U15"/>
    <mergeCell ref="V14:V15"/>
  </mergeCells>
  <printOptions horizontalCentered="1"/>
  <pageMargins left="0.16" right="0.16" top="0.26" bottom="0.25" header="0.17" footer="0.16"/>
  <pageSetup scale="5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51"/>
  <sheetViews>
    <sheetView view="pageBreakPreview" zoomScale="95" zoomScaleNormal="100" zoomScaleSheetLayoutView="95" workbookViewId="0">
      <selection activeCell="M8" sqref="M8"/>
    </sheetView>
  </sheetViews>
  <sheetFormatPr defaultRowHeight="14.25" x14ac:dyDescent="0.2"/>
  <cols>
    <col min="1" max="1" width="5" style="36" customWidth="1"/>
    <col min="2" max="2" width="34.85546875" style="36" customWidth="1"/>
    <col min="3" max="3" width="4.28515625" style="36" customWidth="1"/>
    <col min="4" max="6" width="4.28515625" style="281" customWidth="1"/>
    <col min="7" max="12" width="4.28515625" style="36" customWidth="1"/>
    <col min="13" max="13" width="23.42578125" style="36" customWidth="1"/>
    <col min="14" max="14" width="3.140625" style="36" customWidth="1"/>
    <col min="15" max="15" width="8.85546875" style="36" customWidth="1"/>
    <col min="16" max="16" width="37.28515625" style="36" customWidth="1"/>
    <col min="17" max="16384" width="9.140625" style="36"/>
  </cols>
  <sheetData>
    <row r="1" spans="1:16" ht="21" customHeight="1" x14ac:dyDescent="0.2"/>
    <row r="2" spans="1:16" ht="18" x14ac:dyDescent="0.25">
      <c r="B2" s="301" t="s">
        <v>585</v>
      </c>
      <c r="C2" s="300"/>
    </row>
    <row r="3" spans="1:16" ht="18" x14ac:dyDescent="0.25">
      <c r="B3" s="299" t="s">
        <v>209</v>
      </c>
    </row>
    <row r="4" spans="1:16" ht="15" x14ac:dyDescent="0.25">
      <c r="B4" s="36" t="s">
        <v>587</v>
      </c>
    </row>
    <row r="5" spans="1:16" ht="18" x14ac:dyDescent="0.25">
      <c r="B5" s="299"/>
    </row>
    <row r="6" spans="1:16" ht="15" x14ac:dyDescent="0.25">
      <c r="A6" s="3"/>
      <c r="B6" s="3" t="s">
        <v>588</v>
      </c>
      <c r="C6" s="3"/>
      <c r="D6" s="72"/>
      <c r="E6" s="72"/>
      <c r="F6" s="72"/>
      <c r="G6" s="3"/>
      <c r="H6" s="3"/>
      <c r="I6" s="3"/>
      <c r="J6" s="3"/>
      <c r="K6" s="3"/>
      <c r="L6" s="3"/>
      <c r="M6" s="3"/>
      <c r="N6" s="3"/>
      <c r="O6" s="3"/>
    </row>
    <row r="7" spans="1:16" x14ac:dyDescent="0.2">
      <c r="A7" s="3"/>
      <c r="B7" s="3" t="s">
        <v>586</v>
      </c>
      <c r="C7" s="3"/>
      <c r="D7" s="72"/>
      <c r="E7" s="72"/>
      <c r="F7" s="72"/>
      <c r="G7" s="3"/>
      <c r="H7" s="3"/>
      <c r="I7" s="3"/>
      <c r="J7" s="3"/>
      <c r="K7" s="3"/>
      <c r="L7" s="3"/>
      <c r="M7" s="3"/>
      <c r="N7" s="3"/>
      <c r="O7" s="3"/>
    </row>
    <row r="8" spans="1:16" x14ac:dyDescent="0.2">
      <c r="A8" s="3"/>
      <c r="B8" s="3"/>
      <c r="C8" s="3"/>
      <c r="D8" s="72"/>
      <c r="E8" s="72"/>
      <c r="F8" s="72"/>
      <c r="G8" s="3"/>
      <c r="H8" s="3"/>
      <c r="I8" s="3"/>
      <c r="J8" s="3"/>
      <c r="K8" s="3"/>
      <c r="L8" s="3"/>
      <c r="M8" s="3"/>
      <c r="N8" s="3"/>
      <c r="O8" s="3"/>
    </row>
    <row r="9" spans="1:16" s="89" customFormat="1" ht="15.75" x14ac:dyDescent="0.25">
      <c r="A9" s="70"/>
      <c r="B9" s="1021" t="s">
        <v>529</v>
      </c>
      <c r="C9" s="1021"/>
      <c r="D9" s="1021"/>
      <c r="E9" s="1021"/>
      <c r="F9" s="1021"/>
      <c r="G9" s="1021"/>
      <c r="H9" s="1021"/>
      <c r="I9" s="1021"/>
      <c r="J9" s="1021"/>
      <c r="K9" s="1021"/>
      <c r="L9" s="1021"/>
      <c r="M9" s="1021"/>
      <c r="N9" s="1021"/>
      <c r="O9" s="712"/>
      <c r="P9" s="712"/>
    </row>
    <row r="10" spans="1:16" s="89" customFormat="1" ht="15.75" x14ac:dyDescent="0.25">
      <c r="A10" s="70"/>
      <c r="B10" s="1021" t="s">
        <v>528</v>
      </c>
      <c r="C10" s="1021"/>
      <c r="D10" s="1021"/>
      <c r="E10" s="1021"/>
      <c r="F10" s="1021"/>
      <c r="G10" s="1021"/>
      <c r="H10" s="1021"/>
      <c r="I10" s="1021"/>
      <c r="J10" s="1021"/>
      <c r="K10" s="1021"/>
      <c r="L10" s="1021"/>
      <c r="M10" s="1021"/>
      <c r="N10" s="1021"/>
      <c r="O10" s="712"/>
      <c r="P10" s="712"/>
    </row>
    <row r="11" spans="1:16" s="89" customFormat="1" ht="15.75" x14ac:dyDescent="0.25">
      <c r="A11" s="70"/>
      <c r="B11" s="1021" t="s">
        <v>527</v>
      </c>
      <c r="C11" s="1021"/>
      <c r="D11" s="1021"/>
      <c r="E11" s="1021"/>
      <c r="F11" s="1021"/>
      <c r="G11" s="1021"/>
      <c r="H11" s="1021"/>
      <c r="I11" s="1021"/>
      <c r="J11" s="1021"/>
      <c r="K11" s="1021"/>
      <c r="L11" s="1021"/>
      <c r="M11" s="1021"/>
      <c r="N11" s="1021"/>
      <c r="O11" s="712"/>
      <c r="P11" s="712"/>
    </row>
    <row r="12" spans="1:16" s="89" customFormat="1" ht="15.75" x14ac:dyDescent="0.25">
      <c r="A12" s="70"/>
      <c r="B12" s="781" t="s">
        <v>526</v>
      </c>
      <c r="C12" s="405"/>
      <c r="D12" s="405"/>
      <c r="E12" s="405"/>
      <c r="F12" s="405"/>
      <c r="G12" s="405"/>
      <c r="H12" s="405"/>
      <c r="I12" s="405"/>
      <c r="J12" s="405"/>
      <c r="K12" s="405"/>
      <c r="L12" s="405"/>
      <c r="M12" s="779" t="s">
        <v>525</v>
      </c>
      <c r="N12" s="780"/>
      <c r="O12" s="712"/>
      <c r="P12" s="712"/>
    </row>
    <row r="13" spans="1:16" s="89" customFormat="1" ht="15.75" x14ac:dyDescent="0.25">
      <c r="A13" s="70"/>
      <c r="B13" s="1022" t="s">
        <v>524</v>
      </c>
      <c r="C13" s="1022"/>
      <c r="D13" s="1022"/>
      <c r="E13" s="1022"/>
      <c r="F13" s="1022"/>
      <c r="G13" s="1022"/>
      <c r="H13" s="1022"/>
      <c r="I13" s="1022"/>
      <c r="J13" s="1022"/>
      <c r="K13" s="1022"/>
      <c r="L13" s="1022"/>
      <c r="M13" s="779" t="s">
        <v>523</v>
      </c>
      <c r="N13" s="778"/>
      <c r="O13" s="712"/>
      <c r="P13" s="712"/>
    </row>
    <row r="14" spans="1:16" s="89" customFormat="1" ht="16.5" thickBot="1" x14ac:dyDescent="0.3">
      <c r="A14" s="70"/>
      <c r="B14" s="777"/>
      <c r="C14" s="406"/>
      <c r="D14" s="406"/>
      <c r="E14" s="406"/>
      <c r="F14" s="406"/>
      <c r="G14" s="406"/>
      <c r="H14" s="406"/>
      <c r="I14" s="406"/>
      <c r="J14" s="406"/>
      <c r="K14" s="406"/>
      <c r="L14" s="406"/>
      <c r="M14" s="776" t="s">
        <v>522</v>
      </c>
      <c r="N14" s="775"/>
      <c r="O14" s="712"/>
      <c r="P14" s="712"/>
    </row>
    <row r="15" spans="1:16" s="89" customFormat="1" ht="16.5" thickBot="1" x14ac:dyDescent="0.3">
      <c r="A15" s="70"/>
      <c r="B15" s="774" t="s">
        <v>521</v>
      </c>
      <c r="C15" s="773" t="s">
        <v>520</v>
      </c>
      <c r="D15" s="772"/>
      <c r="E15" s="772"/>
      <c r="F15" s="772"/>
      <c r="G15" s="772"/>
      <c r="H15" s="772"/>
      <c r="I15" s="772"/>
      <c r="J15" s="772"/>
      <c r="K15" s="772"/>
      <c r="L15" s="772"/>
      <c r="M15" s="771"/>
      <c r="N15" s="771"/>
      <c r="O15" s="728"/>
      <c r="P15" s="712"/>
    </row>
    <row r="16" spans="1:16" s="89" customFormat="1" ht="15.75" x14ac:dyDescent="0.2">
      <c r="A16" s="70"/>
      <c r="B16" s="770"/>
      <c r="C16" s="769" t="s">
        <v>519</v>
      </c>
      <c r="D16" s="768" t="s">
        <v>518</v>
      </c>
      <c r="E16" s="764"/>
      <c r="F16" s="764" t="s">
        <v>517</v>
      </c>
      <c r="G16" s="767"/>
      <c r="H16" s="766"/>
      <c r="I16" s="1023" t="s">
        <v>516</v>
      </c>
      <c r="J16" s="1024"/>
      <c r="K16" s="1024"/>
      <c r="L16" s="1024"/>
      <c r="M16" s="1024"/>
      <c r="N16" s="1025"/>
      <c r="O16" s="756"/>
      <c r="P16" s="755"/>
    </row>
    <row r="17" spans="1:16" s="89" customFormat="1" ht="15.75" x14ac:dyDescent="0.25">
      <c r="A17" s="70"/>
      <c r="B17" s="765"/>
      <c r="C17" s="764">
        <v>1</v>
      </c>
      <c r="D17" s="763">
        <v>2</v>
      </c>
      <c r="E17" s="762"/>
      <c r="F17" s="760">
        <v>3</v>
      </c>
      <c r="G17" s="761"/>
      <c r="H17" s="760"/>
      <c r="I17" s="759" t="s">
        <v>366</v>
      </c>
      <c r="J17" s="759"/>
      <c r="K17" s="759"/>
      <c r="L17" s="758" t="s">
        <v>366</v>
      </c>
      <c r="M17" s="757"/>
      <c r="N17" s="757"/>
      <c r="O17" s="756"/>
      <c r="P17" s="755"/>
    </row>
    <row r="18" spans="1:16" s="89" customFormat="1" ht="27" x14ac:dyDescent="0.3">
      <c r="A18" s="70"/>
      <c r="B18" s="754" t="s">
        <v>515</v>
      </c>
      <c r="C18" s="1026"/>
      <c r="D18" s="1026"/>
      <c r="E18" s="1026"/>
      <c r="F18" s="1026"/>
      <c r="G18" s="1026"/>
      <c r="H18" s="1027"/>
      <c r="I18" s="1028" t="str">
        <f>IF(C18="","",(UPPER(CONCATENATE(C18,D18,E18,F18,G18,H18))))</f>
        <v/>
      </c>
      <c r="J18" s="1029"/>
      <c r="K18" s="1029"/>
      <c r="L18" s="1029"/>
      <c r="M18" s="1029"/>
      <c r="N18" s="1030"/>
      <c r="O18" s="753" t="s">
        <v>514</v>
      </c>
      <c r="P18" s="752" t="s">
        <v>513</v>
      </c>
    </row>
    <row r="19" spans="1:16" s="89" customFormat="1" ht="15.75" x14ac:dyDescent="0.25">
      <c r="A19" s="70"/>
      <c r="B19" s="737" t="s">
        <v>507</v>
      </c>
      <c r="C19" s="1019"/>
      <c r="D19" s="1019"/>
      <c r="E19" s="1019"/>
      <c r="F19" s="1019"/>
      <c r="G19" s="1019"/>
      <c r="H19" s="1019"/>
      <c r="I19" s="1019"/>
      <c r="J19" s="1019"/>
      <c r="K19" s="1019"/>
      <c r="L19" s="1019"/>
      <c r="M19" s="1019"/>
      <c r="N19" s="1020"/>
      <c r="O19" s="728">
        <f>LEN(C19)</f>
        <v>0</v>
      </c>
      <c r="P19" s="748" t="str">
        <f>IF(B19="","",IF(O19&gt;40,"Please limit your description to be up to 40-characters only.","ok"))</f>
        <v>ok</v>
      </c>
    </row>
    <row r="20" spans="1:16" s="92" customFormat="1" ht="18" x14ac:dyDescent="0.2">
      <c r="A20" s="408"/>
      <c r="B20" s="751" t="s">
        <v>512</v>
      </c>
      <c r="C20" s="1033"/>
      <c r="D20" s="1034"/>
      <c r="E20" s="1035"/>
      <c r="F20" s="1036"/>
      <c r="G20" s="1036"/>
      <c r="H20" s="1036"/>
      <c r="I20" s="1036"/>
      <c r="J20" s="1036"/>
      <c r="K20" s="1036"/>
      <c r="L20" s="1036"/>
      <c r="M20" s="1036"/>
      <c r="N20" s="1037"/>
      <c r="O20" s="728"/>
      <c r="P20" s="712"/>
    </row>
    <row r="21" spans="1:16" s="89" customFormat="1" ht="15.75" x14ac:dyDescent="0.25">
      <c r="A21" s="70"/>
      <c r="B21" s="737" t="s">
        <v>507</v>
      </c>
      <c r="C21" s="1019"/>
      <c r="D21" s="1019"/>
      <c r="E21" s="1019"/>
      <c r="F21" s="1019"/>
      <c r="G21" s="1019"/>
      <c r="H21" s="1019"/>
      <c r="I21" s="1019"/>
      <c r="J21" s="1019"/>
      <c r="K21" s="1019"/>
      <c r="L21" s="1019"/>
      <c r="M21" s="1019"/>
      <c r="N21" s="1020"/>
      <c r="O21" s="728">
        <f>LEN(C21)</f>
        <v>0</v>
      </c>
      <c r="P21" s="748" t="str">
        <f>IF(B21="","",IF(O21&gt;40,"Please limit your description to be up to 40-characters only.","ok"))</f>
        <v>ok</v>
      </c>
    </row>
    <row r="22" spans="1:16" s="89" customFormat="1" ht="24" x14ac:dyDescent="0.2">
      <c r="A22" s="70"/>
      <c r="B22" s="750" t="s">
        <v>511</v>
      </c>
      <c r="C22" s="1033"/>
      <c r="D22" s="1033"/>
      <c r="E22" s="1033"/>
      <c r="F22" s="1034"/>
      <c r="G22" s="1035" t="s">
        <v>510</v>
      </c>
      <c r="H22" s="1036"/>
      <c r="I22" s="1036"/>
      <c r="J22" s="1036"/>
      <c r="K22" s="1036"/>
      <c r="L22" s="1036"/>
      <c r="M22" s="1036"/>
      <c r="N22" s="1037"/>
      <c r="O22" s="728"/>
      <c r="P22" s="712"/>
    </row>
    <row r="23" spans="1:16" s="89" customFormat="1" ht="15.75" x14ac:dyDescent="0.25">
      <c r="A23" s="70"/>
      <c r="B23" s="737" t="s">
        <v>507</v>
      </c>
      <c r="C23" s="1019"/>
      <c r="D23" s="1019"/>
      <c r="E23" s="1019"/>
      <c r="F23" s="1019"/>
      <c r="G23" s="1019"/>
      <c r="H23" s="1019"/>
      <c r="I23" s="1019"/>
      <c r="J23" s="1019"/>
      <c r="K23" s="1019"/>
      <c r="L23" s="1019"/>
      <c r="M23" s="1019"/>
      <c r="N23" s="1020"/>
      <c r="O23" s="728">
        <f>LEN(C23)</f>
        <v>0</v>
      </c>
      <c r="P23" s="748" t="str">
        <f>IF(B23="","",IF(O23&gt;40,"Please limit your description to be up to 40-characters only.","ok"))</f>
        <v>ok</v>
      </c>
    </row>
    <row r="24" spans="1:16" s="89" customFormat="1" ht="24" x14ac:dyDescent="0.2">
      <c r="A24" s="70"/>
      <c r="B24" s="749" t="s">
        <v>509</v>
      </c>
      <c r="C24" s="1033"/>
      <c r="D24" s="1033"/>
      <c r="E24" s="1033"/>
      <c r="F24" s="1033"/>
      <c r="G24" s="1033"/>
      <c r="H24" s="1034"/>
      <c r="I24" s="1035" t="s">
        <v>508</v>
      </c>
      <c r="J24" s="1036"/>
      <c r="K24" s="1036"/>
      <c r="L24" s="1036"/>
      <c r="M24" s="1036"/>
      <c r="N24" s="1037"/>
      <c r="O24" s="728"/>
      <c r="P24" s="712"/>
    </row>
    <row r="25" spans="1:16" s="89" customFormat="1" ht="15.75" x14ac:dyDescent="0.25">
      <c r="A25" s="70"/>
      <c r="B25" s="737" t="s">
        <v>507</v>
      </c>
      <c r="C25" s="1019"/>
      <c r="D25" s="1019"/>
      <c r="E25" s="1019"/>
      <c r="F25" s="1019"/>
      <c r="G25" s="1019"/>
      <c r="H25" s="1019"/>
      <c r="I25" s="1019"/>
      <c r="J25" s="1019"/>
      <c r="K25" s="1019"/>
      <c r="L25" s="1019"/>
      <c r="M25" s="1019"/>
      <c r="N25" s="1020"/>
      <c r="O25" s="728">
        <f>LEN(C25)</f>
        <v>0</v>
      </c>
      <c r="P25" s="748" t="str">
        <f>IF(B25="","",IF(O25&gt;40,"Please limit your description to be up to 40-characters only.","ok"))</f>
        <v>ok</v>
      </c>
    </row>
    <row r="26" spans="1:16" s="89" customFormat="1" ht="18.75" thickBot="1" x14ac:dyDescent="0.3">
      <c r="A26" s="70"/>
      <c r="B26" s="737" t="s">
        <v>506</v>
      </c>
      <c r="C26" s="747"/>
      <c r="D26" s="740"/>
      <c r="E26" s="740"/>
      <c r="F26" s="740"/>
      <c r="G26" s="740"/>
      <c r="H26" s="740"/>
      <c r="I26" s="740" t="s">
        <v>505</v>
      </c>
      <c r="J26" s="740"/>
      <c r="K26" s="740"/>
      <c r="L26" s="740"/>
      <c r="M26" s="739"/>
      <c r="N26" s="738"/>
      <c r="O26" s="728"/>
      <c r="P26" s="712"/>
    </row>
    <row r="27" spans="1:16" s="89" customFormat="1" ht="18.75" thickTop="1" x14ac:dyDescent="0.25">
      <c r="A27" s="70"/>
      <c r="B27" s="746" t="s">
        <v>504</v>
      </c>
      <c r="C27" s="745"/>
      <c r="D27" s="744" t="s">
        <v>503</v>
      </c>
      <c r="E27" s="743"/>
      <c r="F27" s="743"/>
      <c r="G27" s="743"/>
      <c r="H27" s="743"/>
      <c r="I27" s="743"/>
      <c r="J27" s="743"/>
      <c r="K27" s="743"/>
      <c r="L27" s="743"/>
      <c r="M27" s="743"/>
      <c r="N27" s="742"/>
      <c r="O27" s="728"/>
      <c r="P27" s="712"/>
    </row>
    <row r="28" spans="1:16" s="89" customFormat="1" ht="18" x14ac:dyDescent="0.25">
      <c r="A28" s="70"/>
      <c r="B28" s="737" t="s">
        <v>502</v>
      </c>
      <c r="C28" s="736" t="s">
        <v>501</v>
      </c>
      <c r="D28" s="741" t="s">
        <v>383</v>
      </c>
      <c r="E28" s="740"/>
      <c r="F28" s="740"/>
      <c r="G28" s="740"/>
      <c r="H28" s="740"/>
      <c r="I28" s="740"/>
      <c r="J28" s="740"/>
      <c r="K28" s="740"/>
      <c r="L28" s="740"/>
      <c r="M28" s="739"/>
      <c r="N28" s="738"/>
      <c r="O28" s="728"/>
      <c r="P28" s="712"/>
    </row>
    <row r="29" spans="1:16" s="89" customFormat="1" ht="18" x14ac:dyDescent="0.25">
      <c r="A29" s="70"/>
      <c r="B29" s="737" t="s">
        <v>500</v>
      </c>
      <c r="C29" s="1031"/>
      <c r="D29" s="1031"/>
      <c r="E29" s="1031"/>
      <c r="F29" s="1032"/>
      <c r="G29" s="740"/>
      <c r="H29" s="740"/>
      <c r="I29" s="740"/>
      <c r="J29" s="740"/>
      <c r="K29" s="740"/>
      <c r="L29" s="740"/>
      <c r="M29" s="739"/>
      <c r="N29" s="738"/>
      <c r="O29" s="728"/>
      <c r="P29" s="712"/>
    </row>
    <row r="30" spans="1:16" s="89" customFormat="1" ht="18" x14ac:dyDescent="0.25">
      <c r="A30" s="70"/>
      <c r="B30" s="737" t="s">
        <v>499</v>
      </c>
      <c r="C30" s="1031"/>
      <c r="D30" s="1031"/>
      <c r="E30" s="1031"/>
      <c r="F30" s="1031"/>
      <c r="G30" s="1031"/>
      <c r="H30" s="1031"/>
      <c r="I30" s="1031"/>
      <c r="J30" s="1031"/>
      <c r="K30" s="1031"/>
      <c r="L30" s="1032"/>
      <c r="M30" s="739"/>
      <c r="N30" s="738"/>
      <c r="O30" s="728"/>
      <c r="P30" s="712"/>
    </row>
    <row r="31" spans="1:16" s="89" customFormat="1" ht="18" x14ac:dyDescent="0.25">
      <c r="A31" s="70"/>
      <c r="B31" s="737" t="s">
        <v>498</v>
      </c>
      <c r="C31" s="1031"/>
      <c r="D31" s="1031"/>
      <c r="E31" s="1031"/>
      <c r="F31" s="1032"/>
      <c r="G31" s="740"/>
      <c r="H31" s="740"/>
      <c r="I31" s="740"/>
      <c r="J31" s="740"/>
      <c r="K31" s="740"/>
      <c r="L31" s="740"/>
      <c r="M31" s="739"/>
      <c r="N31" s="738"/>
      <c r="O31" s="728"/>
      <c r="P31" s="712"/>
    </row>
    <row r="32" spans="1:16" s="89" customFormat="1" ht="18" x14ac:dyDescent="0.25">
      <c r="A32" s="70"/>
      <c r="B32" s="737" t="s">
        <v>497</v>
      </c>
      <c r="C32" s="1031"/>
      <c r="D32" s="1031"/>
      <c r="E32" s="1031"/>
      <c r="F32" s="1031"/>
      <c r="G32" s="1031"/>
      <c r="H32" s="1031"/>
      <c r="I32" s="1031"/>
      <c r="J32" s="1031"/>
      <c r="K32" s="1031"/>
      <c r="L32" s="1032"/>
      <c r="M32" s="739"/>
      <c r="N32" s="738"/>
      <c r="O32" s="728"/>
      <c r="P32" s="712"/>
    </row>
    <row r="33" spans="1:16" s="89" customFormat="1" ht="18" x14ac:dyDescent="0.25">
      <c r="A33" s="70"/>
      <c r="B33" s="737" t="s">
        <v>496</v>
      </c>
      <c r="C33" s="736" t="s">
        <v>40</v>
      </c>
      <c r="D33" s="1041"/>
      <c r="E33" s="1042"/>
      <c r="F33" s="1042"/>
      <c r="G33" s="1042"/>
      <c r="H33" s="1042"/>
      <c r="I33" s="1042"/>
      <c r="J33" s="1042"/>
      <c r="K33" s="1042"/>
      <c r="L33" s="1042"/>
      <c r="M33" s="1042"/>
      <c r="N33" s="1043"/>
      <c r="O33" s="728"/>
      <c r="P33" s="712"/>
    </row>
    <row r="34" spans="1:16" s="89" customFormat="1" ht="18" x14ac:dyDescent="0.25">
      <c r="A34" s="70"/>
      <c r="B34" s="735" t="s">
        <v>495</v>
      </c>
      <c r="C34" s="736" t="s">
        <v>40</v>
      </c>
      <c r="D34" s="1041"/>
      <c r="E34" s="1042"/>
      <c r="F34" s="1042"/>
      <c r="G34" s="1042"/>
      <c r="H34" s="1042"/>
      <c r="I34" s="1042"/>
      <c r="J34" s="1042"/>
      <c r="K34" s="1042"/>
      <c r="L34" s="1042"/>
      <c r="M34" s="1042"/>
      <c r="N34" s="1043"/>
      <c r="O34" s="728"/>
      <c r="P34" s="712"/>
    </row>
    <row r="35" spans="1:16" s="89" customFormat="1" ht="18" x14ac:dyDescent="0.25">
      <c r="A35" s="70"/>
      <c r="B35" s="735" t="s">
        <v>494</v>
      </c>
      <c r="C35" s="734" t="s">
        <v>40</v>
      </c>
      <c r="D35" s="1041"/>
      <c r="E35" s="1042"/>
      <c r="F35" s="1042"/>
      <c r="G35" s="1042"/>
      <c r="H35" s="1042"/>
      <c r="I35" s="1042"/>
      <c r="J35" s="1042"/>
      <c r="K35" s="1042"/>
      <c r="L35" s="1042"/>
      <c r="M35" s="1042"/>
      <c r="N35" s="1043"/>
      <c r="O35" s="728"/>
      <c r="P35" s="712"/>
    </row>
    <row r="36" spans="1:16" s="89" customFormat="1" ht="18" x14ac:dyDescent="0.25">
      <c r="A36" s="70"/>
      <c r="B36" s="733" t="s">
        <v>493</v>
      </c>
      <c r="C36" s="1044"/>
      <c r="D36" s="1045"/>
      <c r="E36" s="1045"/>
      <c r="F36" s="1045"/>
      <c r="G36" s="1045"/>
      <c r="H36" s="1045"/>
      <c r="I36" s="1046" t="s">
        <v>491</v>
      </c>
      <c r="J36" s="1047"/>
      <c r="K36" s="1047"/>
      <c r="L36" s="1048"/>
      <c r="M36" s="1049"/>
      <c r="N36" s="1050"/>
      <c r="O36" s="728"/>
      <c r="P36" s="712"/>
    </row>
    <row r="37" spans="1:16" s="89" customFormat="1" ht="18.75" thickBot="1" x14ac:dyDescent="0.3">
      <c r="A37" s="70"/>
      <c r="B37" s="732" t="s">
        <v>492</v>
      </c>
      <c r="C37" s="1052"/>
      <c r="D37" s="1053"/>
      <c r="E37" s="1053"/>
      <c r="F37" s="1053"/>
      <c r="G37" s="1053"/>
      <c r="H37" s="1053"/>
      <c r="I37" s="1054" t="s">
        <v>491</v>
      </c>
      <c r="J37" s="1055"/>
      <c r="K37" s="1055"/>
      <c r="L37" s="1056"/>
      <c r="M37" s="1038"/>
      <c r="N37" s="1039"/>
      <c r="O37" s="728"/>
      <c r="P37" s="712"/>
    </row>
    <row r="38" spans="1:16" s="89" customFormat="1" ht="15" thickBot="1" x14ac:dyDescent="0.25">
      <c r="A38" s="70"/>
      <c r="B38" s="714"/>
      <c r="C38" s="714"/>
      <c r="D38" s="714"/>
      <c r="E38" s="714"/>
      <c r="F38" s="714"/>
      <c r="G38" s="714"/>
      <c r="H38" s="714"/>
      <c r="I38" s="714"/>
      <c r="J38" s="714"/>
      <c r="K38" s="714"/>
      <c r="L38" s="714"/>
      <c r="M38" s="714"/>
      <c r="N38" s="714"/>
      <c r="O38" s="728"/>
      <c r="P38" s="712"/>
    </row>
    <row r="39" spans="1:16" s="89" customFormat="1" x14ac:dyDescent="0.2">
      <c r="A39" s="70"/>
      <c r="B39" s="713"/>
      <c r="C39" s="713"/>
      <c r="D39" s="713"/>
      <c r="E39" s="713"/>
      <c r="F39" s="713"/>
      <c r="G39" s="713"/>
      <c r="H39" s="713"/>
      <c r="I39" s="731" t="s">
        <v>490</v>
      </c>
      <c r="J39" s="730"/>
      <c r="K39" s="730"/>
      <c r="L39" s="730"/>
      <c r="M39" s="730"/>
      <c r="N39" s="729"/>
      <c r="O39" s="728"/>
      <c r="P39" s="712"/>
    </row>
    <row r="40" spans="1:16" s="89" customFormat="1" x14ac:dyDescent="0.2">
      <c r="A40" s="70"/>
      <c r="B40" s="719" t="s">
        <v>1</v>
      </c>
      <c r="C40" s="1040"/>
      <c r="D40" s="1040"/>
      <c r="E40" s="1040"/>
      <c r="F40" s="1040"/>
      <c r="G40" s="1040"/>
      <c r="H40" s="721"/>
      <c r="I40" s="725"/>
      <c r="J40" s="727"/>
      <c r="K40" s="727"/>
      <c r="L40" s="727"/>
      <c r="M40" s="727"/>
      <c r="N40" s="726"/>
      <c r="O40" s="728"/>
      <c r="P40" s="712"/>
    </row>
    <row r="41" spans="1:16" s="89" customFormat="1" x14ac:dyDescent="0.2">
      <c r="A41" s="70"/>
      <c r="B41" s="719"/>
      <c r="C41" s="718"/>
      <c r="D41" s="718"/>
      <c r="E41" s="718"/>
      <c r="F41" s="718"/>
      <c r="G41" s="713"/>
      <c r="H41" s="713"/>
      <c r="I41" s="725"/>
      <c r="J41" s="727"/>
      <c r="K41" s="727"/>
      <c r="L41" s="727"/>
      <c r="M41" s="727"/>
      <c r="N41" s="726"/>
      <c r="O41" s="728"/>
      <c r="P41" s="712"/>
    </row>
    <row r="42" spans="1:16" s="89" customFormat="1" x14ac:dyDescent="0.2">
      <c r="A42" s="70"/>
      <c r="B42" s="719" t="s">
        <v>489</v>
      </c>
      <c r="C42" s="1040"/>
      <c r="D42" s="1040"/>
      <c r="E42" s="1040"/>
      <c r="F42" s="1040"/>
      <c r="G42" s="1040"/>
      <c r="H42" s="721"/>
      <c r="I42" s="725" t="s">
        <v>488</v>
      </c>
      <c r="J42" s="727"/>
      <c r="K42" s="727"/>
      <c r="L42" s="727"/>
      <c r="M42" s="727"/>
      <c r="N42" s="726"/>
      <c r="O42" s="728"/>
      <c r="P42" s="712"/>
    </row>
    <row r="43" spans="1:16" x14ac:dyDescent="0.2">
      <c r="A43" s="3"/>
      <c r="B43" s="719" t="s">
        <v>487</v>
      </c>
      <c r="C43" s="718"/>
      <c r="D43" s="718"/>
      <c r="E43" s="718"/>
      <c r="F43" s="718"/>
      <c r="G43" s="713"/>
      <c r="H43" s="713"/>
      <c r="I43" s="725" t="s">
        <v>482</v>
      </c>
      <c r="J43" s="724"/>
      <c r="K43" s="724"/>
      <c r="L43" s="724"/>
      <c r="M43" s="724"/>
      <c r="N43" s="723"/>
      <c r="O43" s="728"/>
      <c r="P43" s="712"/>
    </row>
    <row r="44" spans="1:16" x14ac:dyDescent="0.2">
      <c r="A44" s="3"/>
      <c r="B44" s="719" t="s">
        <v>486</v>
      </c>
      <c r="C44" s="1040"/>
      <c r="D44" s="1040"/>
      <c r="E44" s="1040"/>
      <c r="F44" s="1040"/>
      <c r="G44" s="1040"/>
      <c r="H44" s="713"/>
      <c r="I44" s="725"/>
      <c r="J44" s="727"/>
      <c r="K44" s="727"/>
      <c r="L44" s="727"/>
      <c r="M44" s="727"/>
      <c r="N44" s="720"/>
      <c r="O44" s="728"/>
      <c r="P44" s="712"/>
    </row>
    <row r="45" spans="1:16" x14ac:dyDescent="0.2">
      <c r="A45" s="3"/>
      <c r="B45" s="719"/>
      <c r="C45" s="718"/>
      <c r="D45" s="718"/>
      <c r="E45" s="718"/>
      <c r="F45" s="718"/>
      <c r="G45" s="713"/>
      <c r="H45" s="713"/>
      <c r="I45" s="725"/>
      <c r="J45" s="727"/>
      <c r="K45" s="727"/>
      <c r="L45" s="727"/>
      <c r="M45" s="727"/>
      <c r="N45" s="726"/>
      <c r="O45" s="728"/>
      <c r="P45" s="712"/>
    </row>
    <row r="46" spans="1:16" x14ac:dyDescent="0.2">
      <c r="A46" s="3"/>
      <c r="B46" s="719" t="s">
        <v>485</v>
      </c>
      <c r="C46" s="1040"/>
      <c r="D46" s="1040"/>
      <c r="E46" s="1040"/>
      <c r="F46" s="1040"/>
      <c r="G46" s="1040"/>
      <c r="H46" s="713"/>
      <c r="I46" s="725"/>
      <c r="J46" s="727"/>
      <c r="K46" s="727"/>
      <c r="L46" s="727"/>
      <c r="M46" s="727"/>
      <c r="N46" s="726"/>
      <c r="O46" s="712"/>
      <c r="P46" s="712"/>
    </row>
    <row r="47" spans="1:16" x14ac:dyDescent="0.2">
      <c r="A47" s="3"/>
      <c r="B47" s="719"/>
      <c r="C47" s="719"/>
      <c r="D47" s="719"/>
      <c r="E47" s="719"/>
      <c r="F47" s="719"/>
      <c r="G47" s="713"/>
      <c r="H47" s="713"/>
      <c r="I47" s="725" t="s">
        <v>484</v>
      </c>
      <c r="J47" s="727"/>
      <c r="K47" s="727"/>
      <c r="L47" s="727"/>
      <c r="M47" s="727"/>
      <c r="N47" s="726"/>
      <c r="O47" s="712"/>
      <c r="P47" s="712"/>
    </row>
    <row r="48" spans="1:16" x14ac:dyDescent="0.2">
      <c r="A48" s="3"/>
      <c r="B48" s="719" t="s">
        <v>483</v>
      </c>
      <c r="C48" s="1040"/>
      <c r="D48" s="1040"/>
      <c r="E48" s="1040"/>
      <c r="F48" s="1040"/>
      <c r="G48" s="1040"/>
      <c r="H48" s="713"/>
      <c r="I48" s="725" t="s">
        <v>482</v>
      </c>
      <c r="J48" s="724"/>
      <c r="K48" s="724"/>
      <c r="L48" s="724"/>
      <c r="M48" s="724"/>
      <c r="N48" s="723"/>
      <c r="O48" s="712"/>
      <c r="P48" s="712"/>
    </row>
    <row r="49" spans="2:16" x14ac:dyDescent="0.2">
      <c r="B49" s="719"/>
      <c r="C49" s="718"/>
      <c r="D49" s="718"/>
      <c r="E49" s="718"/>
      <c r="F49" s="718"/>
      <c r="G49" s="713"/>
      <c r="H49" s="718"/>
      <c r="I49" s="722"/>
      <c r="J49" s="721"/>
      <c r="K49" s="721"/>
      <c r="L49" s="721"/>
      <c r="M49" s="721"/>
      <c r="N49" s="720"/>
      <c r="O49" s="712"/>
      <c r="P49" s="712"/>
    </row>
    <row r="50" spans="2:16" ht="15" thickBot="1" x14ac:dyDescent="0.25">
      <c r="B50" s="719" t="s">
        <v>481</v>
      </c>
      <c r="C50" s="1051"/>
      <c r="D50" s="1051"/>
      <c r="E50" s="1051"/>
      <c r="F50" s="1051"/>
      <c r="G50" s="1051"/>
      <c r="H50" s="718"/>
      <c r="I50" s="717"/>
      <c r="J50" s="716"/>
      <c r="K50" s="716"/>
      <c r="L50" s="716"/>
      <c r="M50" s="716"/>
      <c r="N50" s="715"/>
      <c r="O50" s="712"/>
      <c r="P50" s="712"/>
    </row>
    <row r="51" spans="2:16" x14ac:dyDescent="0.2">
      <c r="B51" s="714"/>
      <c r="C51" s="713"/>
      <c r="D51" s="713"/>
      <c r="E51" s="713"/>
      <c r="F51" s="713"/>
      <c r="G51" s="713"/>
      <c r="H51" s="713"/>
      <c r="I51" s="713"/>
      <c r="J51" s="713"/>
      <c r="K51" s="713"/>
      <c r="L51" s="713"/>
      <c r="M51" s="713"/>
      <c r="N51" s="713"/>
      <c r="O51" s="712"/>
      <c r="P51" s="712"/>
    </row>
  </sheetData>
  <mergeCells count="36">
    <mergeCell ref="C46:G46"/>
    <mergeCell ref="C48:G48"/>
    <mergeCell ref="C50:G50"/>
    <mergeCell ref="C37:H37"/>
    <mergeCell ref="I37:L37"/>
    <mergeCell ref="M37:N37"/>
    <mergeCell ref="C40:G40"/>
    <mergeCell ref="C42:G42"/>
    <mergeCell ref="C44:G44"/>
    <mergeCell ref="C32:L32"/>
    <mergeCell ref="D33:N33"/>
    <mergeCell ref="D34:N34"/>
    <mergeCell ref="D35:N35"/>
    <mergeCell ref="C36:H36"/>
    <mergeCell ref="I36:L36"/>
    <mergeCell ref="M36:N36"/>
    <mergeCell ref="C31:F31"/>
    <mergeCell ref="C20:D20"/>
    <mergeCell ref="E20:N20"/>
    <mergeCell ref="C21:N21"/>
    <mergeCell ref="C22:F22"/>
    <mergeCell ref="G22:N22"/>
    <mergeCell ref="C23:N23"/>
    <mergeCell ref="C24:H24"/>
    <mergeCell ref="I24:N24"/>
    <mergeCell ref="C25:N25"/>
    <mergeCell ref="C29:F29"/>
    <mergeCell ref="C30:L30"/>
    <mergeCell ref="C19:N19"/>
    <mergeCell ref="B9:N9"/>
    <mergeCell ref="B10:N10"/>
    <mergeCell ref="B11:N11"/>
    <mergeCell ref="B13:L13"/>
    <mergeCell ref="I16:N16"/>
    <mergeCell ref="C18:H18"/>
    <mergeCell ref="I18:N18"/>
  </mergeCells>
  <pageMargins left="0.7" right="0.7" top="0.75" bottom="0.75" header="0.3" footer="0.3"/>
  <pageSetup scale="8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U51"/>
  <sheetViews>
    <sheetView view="pageBreakPreview" zoomScaleNormal="100" zoomScaleSheetLayoutView="100" workbookViewId="0">
      <selection activeCell="S7" sqref="S7"/>
    </sheetView>
  </sheetViews>
  <sheetFormatPr defaultRowHeight="12.75" x14ac:dyDescent="0.2"/>
  <cols>
    <col min="1" max="1" width="5" style="712" customWidth="1"/>
    <col min="2" max="2" width="26.5703125" style="712" customWidth="1"/>
    <col min="3" max="18" width="2.7109375" style="712" customWidth="1"/>
    <col min="19" max="19" width="25.42578125" style="712" customWidth="1"/>
    <col min="20" max="20" width="0" style="712" hidden="1" customWidth="1"/>
    <col min="21" max="21" width="4" style="712" customWidth="1"/>
    <col min="22" max="16384" width="9.140625" style="712"/>
  </cols>
  <sheetData>
    <row r="1" spans="1:21" ht="14.25" x14ac:dyDescent="0.2">
      <c r="A1" s="36"/>
      <c r="B1" s="36"/>
      <c r="C1" s="36"/>
      <c r="D1" s="281"/>
      <c r="E1" s="281"/>
      <c r="F1" s="281"/>
      <c r="G1" s="36"/>
      <c r="H1" s="36"/>
      <c r="I1" s="36"/>
      <c r="J1" s="36"/>
      <c r="K1" s="36"/>
      <c r="L1" s="36"/>
      <c r="M1" s="36"/>
      <c r="N1" s="36"/>
      <c r="O1" s="36"/>
      <c r="P1" s="36"/>
    </row>
    <row r="2" spans="1:21" ht="18" x14ac:dyDescent="0.25">
      <c r="A2" s="36"/>
      <c r="B2" s="79" t="s">
        <v>589</v>
      </c>
      <c r="C2" s="74"/>
      <c r="D2" s="72"/>
      <c r="E2" s="72"/>
      <c r="F2" s="72"/>
      <c r="G2" s="3"/>
      <c r="H2" s="3"/>
      <c r="I2" s="3"/>
      <c r="J2" s="3"/>
      <c r="K2" s="3"/>
      <c r="L2" s="3"/>
      <c r="M2" s="3"/>
      <c r="N2" s="3"/>
      <c r="O2" s="3"/>
      <c r="P2" s="3"/>
      <c r="Q2" s="782"/>
      <c r="R2" s="782"/>
      <c r="S2" s="782"/>
      <c r="T2" s="782"/>
      <c r="U2" s="782"/>
    </row>
    <row r="3" spans="1:21" ht="18" x14ac:dyDescent="0.25">
      <c r="A3" s="36"/>
      <c r="B3" s="410" t="s">
        <v>209</v>
      </c>
      <c r="C3" s="3"/>
      <c r="D3" s="72"/>
      <c r="E3" s="72"/>
      <c r="F3" s="72"/>
      <c r="G3" s="3"/>
      <c r="H3" s="3"/>
      <c r="I3" s="3"/>
      <c r="J3" s="3"/>
      <c r="K3" s="3"/>
      <c r="L3" s="3"/>
      <c r="M3" s="3"/>
      <c r="N3" s="3"/>
      <c r="O3" s="3"/>
      <c r="P3" s="3"/>
      <c r="Q3" s="782"/>
      <c r="R3" s="782"/>
      <c r="S3" s="782"/>
      <c r="T3" s="782"/>
      <c r="U3" s="782"/>
    </row>
    <row r="4" spans="1:21" ht="15" x14ac:dyDescent="0.25">
      <c r="A4" s="36"/>
      <c r="B4" s="3" t="s">
        <v>591</v>
      </c>
      <c r="C4" s="3"/>
      <c r="D4" s="72"/>
      <c r="E4" s="72"/>
      <c r="F4" s="72"/>
      <c r="G4" s="3"/>
      <c r="H4" s="3"/>
      <c r="I4" s="3"/>
      <c r="J4" s="3"/>
      <c r="K4" s="3"/>
      <c r="L4" s="3"/>
      <c r="M4" s="3"/>
      <c r="N4" s="3"/>
      <c r="O4" s="3"/>
      <c r="P4" s="3"/>
      <c r="Q4" s="782"/>
      <c r="R4" s="782"/>
      <c r="S4" s="782"/>
      <c r="T4" s="782"/>
      <c r="U4" s="782"/>
    </row>
    <row r="5" spans="1:21" ht="18" x14ac:dyDescent="0.25">
      <c r="A5" s="36"/>
      <c r="B5" s="410"/>
      <c r="C5" s="3"/>
      <c r="D5" s="72"/>
      <c r="E5" s="72"/>
      <c r="F5" s="72"/>
      <c r="G5" s="3"/>
      <c r="H5" s="3"/>
      <c r="I5" s="3"/>
      <c r="J5" s="3"/>
      <c r="K5" s="3"/>
      <c r="L5" s="3"/>
      <c r="M5" s="3"/>
      <c r="N5" s="3"/>
      <c r="O5" s="3"/>
      <c r="P5" s="3"/>
      <c r="Q5" s="782"/>
      <c r="R5" s="782"/>
      <c r="S5" s="782"/>
      <c r="T5" s="782"/>
      <c r="U5" s="782"/>
    </row>
    <row r="6" spans="1:21" ht="15" x14ac:dyDescent="0.25">
      <c r="A6" s="36"/>
      <c r="B6" s="3" t="s">
        <v>590</v>
      </c>
      <c r="C6" s="3"/>
      <c r="D6" s="72"/>
      <c r="E6" s="72"/>
      <c r="F6" s="72"/>
      <c r="G6" s="3"/>
      <c r="H6" s="3"/>
      <c r="I6" s="3"/>
      <c r="J6" s="3"/>
      <c r="K6" s="3"/>
      <c r="L6" s="3"/>
      <c r="M6" s="3"/>
      <c r="N6" s="3"/>
      <c r="O6" s="3"/>
      <c r="P6" s="3"/>
      <c r="Q6" s="782"/>
      <c r="R6" s="782"/>
      <c r="S6" s="782"/>
      <c r="T6" s="782"/>
      <c r="U6" s="782"/>
    </row>
    <row r="7" spans="1:21" ht="14.25" x14ac:dyDescent="0.2">
      <c r="A7" s="3"/>
      <c r="B7" s="3" t="s">
        <v>586</v>
      </c>
      <c r="C7" s="3"/>
      <c r="D7" s="72"/>
      <c r="E7" s="72"/>
      <c r="F7" s="72"/>
      <c r="G7" s="3"/>
      <c r="H7" s="3"/>
      <c r="I7" s="3"/>
      <c r="J7" s="3"/>
      <c r="K7" s="3"/>
      <c r="L7" s="3"/>
      <c r="M7" s="3"/>
      <c r="N7" s="3"/>
      <c r="O7" s="3"/>
      <c r="P7" s="3"/>
      <c r="Q7" s="782"/>
      <c r="R7" s="782"/>
      <c r="S7" s="782"/>
      <c r="T7" s="782"/>
      <c r="U7" s="782"/>
    </row>
    <row r="8" spans="1:21" ht="14.25" x14ac:dyDescent="0.2">
      <c r="A8" s="3"/>
      <c r="B8" s="3"/>
      <c r="C8" s="3"/>
      <c r="D8" s="72"/>
      <c r="E8" s="72"/>
      <c r="F8" s="72"/>
      <c r="G8" s="3"/>
      <c r="H8" s="3"/>
      <c r="I8" s="3"/>
      <c r="J8" s="3"/>
      <c r="K8" s="3"/>
      <c r="L8" s="3"/>
      <c r="M8" s="3"/>
      <c r="N8" s="3"/>
      <c r="O8" s="3"/>
      <c r="P8" s="3"/>
      <c r="Q8" s="782"/>
      <c r="R8" s="782"/>
      <c r="S8" s="782"/>
      <c r="T8" s="782"/>
      <c r="U8" s="782"/>
    </row>
    <row r="9" spans="1:21" ht="15.75" x14ac:dyDescent="0.25">
      <c r="A9" s="70"/>
      <c r="B9" s="1021" t="s">
        <v>529</v>
      </c>
      <c r="C9" s="1021"/>
      <c r="D9" s="1021"/>
      <c r="E9" s="1021"/>
      <c r="F9" s="1021"/>
      <c r="G9" s="1021"/>
      <c r="H9" s="1021"/>
      <c r="I9" s="1021"/>
      <c r="J9" s="1021"/>
      <c r="K9" s="1021"/>
      <c r="L9" s="1021"/>
      <c r="M9" s="1021"/>
      <c r="N9" s="1021"/>
      <c r="O9" s="1021"/>
      <c r="P9" s="1021"/>
      <c r="Q9" s="1021"/>
      <c r="R9" s="1021"/>
      <c r="S9" s="1021"/>
      <c r="T9" s="1021"/>
      <c r="U9" s="1021"/>
    </row>
    <row r="10" spans="1:21" ht="15.75" x14ac:dyDescent="0.25">
      <c r="A10" s="70"/>
      <c r="B10" s="1021" t="s">
        <v>528</v>
      </c>
      <c r="C10" s="1021"/>
      <c r="D10" s="1021"/>
      <c r="E10" s="1021"/>
      <c r="F10" s="1021"/>
      <c r="G10" s="1021"/>
      <c r="H10" s="1021"/>
      <c r="I10" s="1021"/>
      <c r="J10" s="1021"/>
      <c r="K10" s="1021"/>
      <c r="L10" s="1021"/>
      <c r="M10" s="1021"/>
      <c r="N10" s="1021"/>
      <c r="O10" s="1021"/>
      <c r="P10" s="1021"/>
      <c r="Q10" s="1021"/>
      <c r="R10" s="1021"/>
      <c r="S10" s="1021"/>
      <c r="T10" s="1021"/>
      <c r="U10" s="1021"/>
    </row>
    <row r="11" spans="1:21" ht="15.75" x14ac:dyDescent="0.25">
      <c r="A11" s="70"/>
      <c r="B11" s="1021" t="s">
        <v>566</v>
      </c>
      <c r="C11" s="1021"/>
      <c r="D11" s="1021"/>
      <c r="E11" s="1021"/>
      <c r="F11" s="1021"/>
      <c r="G11" s="1021"/>
      <c r="H11" s="1021"/>
      <c r="I11" s="1021"/>
      <c r="J11" s="1021"/>
      <c r="K11" s="1021"/>
      <c r="L11" s="1021"/>
      <c r="M11" s="1021"/>
      <c r="N11" s="1021"/>
      <c r="O11" s="1021"/>
      <c r="P11" s="1021"/>
      <c r="Q11" s="1021"/>
      <c r="R11" s="1021"/>
      <c r="S11" s="1021"/>
      <c r="T11" s="1021"/>
      <c r="U11" s="1021"/>
    </row>
    <row r="12" spans="1:21" ht="14.25" x14ac:dyDescent="0.2">
      <c r="A12" s="70"/>
      <c r="B12" s="786"/>
      <c r="C12" s="783"/>
      <c r="D12" s="783"/>
      <c r="E12" s="783"/>
      <c r="F12" s="783"/>
      <c r="G12" s="783"/>
      <c r="H12" s="783"/>
      <c r="I12" s="783"/>
      <c r="J12" s="783"/>
      <c r="K12" s="783"/>
      <c r="L12" s="783"/>
      <c r="M12" s="783"/>
      <c r="N12" s="783"/>
      <c r="O12" s="783"/>
      <c r="P12" s="783"/>
      <c r="Q12" s="783"/>
      <c r="R12" s="783"/>
      <c r="S12" s="782"/>
      <c r="T12" s="782"/>
      <c r="U12" s="782"/>
    </row>
    <row r="13" spans="1:21" ht="14.25" x14ac:dyDescent="0.2">
      <c r="A13" s="70"/>
      <c r="B13" s="786"/>
      <c r="C13" s="783"/>
      <c r="D13" s="783"/>
      <c r="E13" s="783"/>
      <c r="F13" s="783"/>
      <c r="G13" s="783"/>
      <c r="H13" s="783"/>
      <c r="I13" s="783"/>
      <c r="J13" s="783"/>
      <c r="K13" s="783"/>
      <c r="L13" s="783"/>
      <c r="M13" s="783"/>
      <c r="N13" s="783"/>
      <c r="O13" s="783"/>
      <c r="P13" s="783"/>
      <c r="Q13" s="783"/>
      <c r="R13" s="783"/>
      <c r="S13" s="824" t="s">
        <v>525</v>
      </c>
      <c r="T13" s="782"/>
      <c r="U13" s="825"/>
    </row>
    <row r="14" spans="1:21" ht="14.25" x14ac:dyDescent="0.2">
      <c r="A14" s="70"/>
      <c r="B14" s="786"/>
      <c r="C14" s="783"/>
      <c r="D14" s="783"/>
      <c r="E14" s="783"/>
      <c r="F14" s="783"/>
      <c r="G14" s="783"/>
      <c r="H14" s="783"/>
      <c r="I14" s="783"/>
      <c r="J14" s="783"/>
      <c r="K14" s="783"/>
      <c r="L14" s="783"/>
      <c r="M14" s="783"/>
      <c r="N14" s="783"/>
      <c r="O14" s="783"/>
      <c r="P14" s="783"/>
      <c r="Q14" s="783"/>
      <c r="R14" s="783"/>
      <c r="S14" s="824" t="s">
        <v>565</v>
      </c>
      <c r="T14" s="782"/>
      <c r="U14" s="822"/>
    </row>
    <row r="15" spans="1:21" ht="14.25" x14ac:dyDescent="0.2">
      <c r="A15" s="70"/>
      <c r="B15" s="786"/>
      <c r="C15" s="783"/>
      <c r="D15" s="783"/>
      <c r="E15" s="783"/>
      <c r="F15" s="783"/>
      <c r="G15" s="783"/>
      <c r="H15" s="783"/>
      <c r="I15" s="783"/>
      <c r="J15" s="783"/>
      <c r="K15" s="783"/>
      <c r="L15" s="783"/>
      <c r="M15" s="783"/>
      <c r="N15" s="783"/>
      <c r="O15" s="783"/>
      <c r="P15" s="783"/>
      <c r="Q15" s="783"/>
      <c r="R15" s="783"/>
      <c r="S15" s="823" t="s">
        <v>564</v>
      </c>
      <c r="T15" s="782"/>
      <c r="U15" s="822"/>
    </row>
    <row r="16" spans="1:21" ht="15" thickBot="1" x14ac:dyDescent="0.25">
      <c r="A16" s="70"/>
      <c r="B16" s="786"/>
      <c r="C16" s="783"/>
      <c r="D16" s="783"/>
      <c r="E16" s="783"/>
      <c r="F16" s="783"/>
      <c r="G16" s="783"/>
      <c r="H16" s="783"/>
      <c r="I16" s="783"/>
      <c r="J16" s="783"/>
      <c r="K16" s="783"/>
      <c r="L16" s="783"/>
      <c r="M16" s="783"/>
      <c r="N16" s="783"/>
      <c r="O16" s="783"/>
      <c r="P16" s="783"/>
      <c r="Q16" s="783"/>
      <c r="R16" s="783"/>
      <c r="S16" s="782"/>
      <c r="T16" s="782"/>
      <c r="U16" s="782"/>
    </row>
    <row r="17" spans="1:21" ht="21" customHeight="1" thickBot="1" x14ac:dyDescent="0.3">
      <c r="A17" s="70"/>
      <c r="B17" s="821" t="s">
        <v>563</v>
      </c>
      <c r="C17" s="820" t="s">
        <v>520</v>
      </c>
      <c r="D17" s="819"/>
      <c r="E17" s="819"/>
      <c r="F17" s="819"/>
      <c r="G17" s="819"/>
      <c r="H17" s="819"/>
      <c r="I17" s="819"/>
      <c r="J17" s="819"/>
      <c r="K17" s="819"/>
      <c r="L17" s="819"/>
      <c r="M17" s="819"/>
      <c r="N17" s="819"/>
      <c r="O17" s="819"/>
      <c r="P17" s="819"/>
      <c r="Q17" s="819"/>
      <c r="R17" s="819"/>
      <c r="S17" s="817"/>
      <c r="T17" s="818"/>
      <c r="U17" s="817"/>
    </row>
    <row r="18" spans="1:21" ht="21" customHeight="1" x14ac:dyDescent="0.2">
      <c r="A18" s="70"/>
      <c r="B18" s="816" t="s">
        <v>562</v>
      </c>
      <c r="C18" s="799"/>
      <c r="D18" s="798"/>
      <c r="E18" s="798"/>
      <c r="F18" s="798"/>
      <c r="G18" s="798"/>
      <c r="H18" s="798"/>
      <c r="I18" s="798"/>
      <c r="J18" s="798"/>
      <c r="K18" s="798"/>
      <c r="L18" s="798"/>
      <c r="M18" s="798"/>
      <c r="N18" s="797"/>
      <c r="O18" s="804"/>
      <c r="P18" s="804"/>
      <c r="Q18" s="804"/>
      <c r="R18" s="804"/>
      <c r="S18" s="815"/>
      <c r="T18" s="788"/>
      <c r="U18" s="814"/>
    </row>
    <row r="19" spans="1:21" ht="21" customHeight="1" x14ac:dyDescent="0.2">
      <c r="A19" s="70"/>
      <c r="B19" s="813" t="s">
        <v>561</v>
      </c>
      <c r="C19" s="812"/>
      <c r="D19" s="812"/>
      <c r="E19" s="812"/>
      <c r="F19" s="812"/>
      <c r="G19" s="812"/>
      <c r="H19" s="812"/>
      <c r="I19" s="812"/>
      <c r="J19" s="812"/>
      <c r="K19" s="812"/>
      <c r="L19" s="812"/>
      <c r="M19" s="812"/>
      <c r="N19" s="812"/>
      <c r="O19" s="812"/>
      <c r="P19" s="812"/>
      <c r="Q19" s="812"/>
      <c r="R19" s="812"/>
      <c r="S19" s="811" t="s">
        <v>366</v>
      </c>
      <c r="T19" s="810"/>
      <c r="U19" s="809" t="s">
        <v>366</v>
      </c>
    </row>
    <row r="20" spans="1:21" ht="21" customHeight="1" x14ac:dyDescent="0.2">
      <c r="A20" s="408"/>
      <c r="B20" s="800" t="s">
        <v>560</v>
      </c>
      <c r="C20" s="799"/>
      <c r="D20" s="797"/>
      <c r="E20" s="796"/>
      <c r="F20" s="796"/>
      <c r="G20" s="796"/>
      <c r="H20" s="796"/>
      <c r="I20" s="796"/>
      <c r="J20" s="796"/>
      <c r="K20" s="796"/>
      <c r="L20" s="796"/>
      <c r="M20" s="796"/>
      <c r="N20" s="796"/>
      <c r="O20" s="796"/>
      <c r="P20" s="796"/>
      <c r="Q20" s="796"/>
      <c r="R20" s="796"/>
      <c r="S20" s="795"/>
      <c r="T20" s="788"/>
      <c r="U20" s="788"/>
    </row>
    <row r="21" spans="1:21" ht="21" customHeight="1" x14ac:dyDescent="0.2">
      <c r="A21" s="70"/>
      <c r="B21" s="800" t="s">
        <v>559</v>
      </c>
      <c r="C21" s="799"/>
      <c r="D21" s="798"/>
      <c r="E21" s="797"/>
      <c r="F21" s="807"/>
      <c r="G21" s="807"/>
      <c r="H21" s="807"/>
      <c r="I21" s="807"/>
      <c r="J21" s="807"/>
      <c r="K21" s="807"/>
      <c r="L21" s="807"/>
      <c r="M21" s="807"/>
      <c r="N21" s="807"/>
      <c r="O21" s="807"/>
      <c r="P21" s="807"/>
      <c r="Q21" s="807"/>
      <c r="R21" s="807"/>
      <c r="S21" s="806"/>
      <c r="T21" s="788"/>
      <c r="U21" s="805"/>
    </row>
    <row r="22" spans="1:21" ht="21" customHeight="1" x14ac:dyDescent="0.2">
      <c r="A22" s="70"/>
      <c r="B22" s="800" t="s">
        <v>558</v>
      </c>
      <c r="C22" s="799"/>
      <c r="D22" s="798"/>
      <c r="E22" s="797"/>
      <c r="F22" s="807"/>
      <c r="G22" s="807"/>
      <c r="H22" s="807"/>
      <c r="I22" s="807"/>
      <c r="J22" s="807"/>
      <c r="K22" s="807"/>
      <c r="L22" s="807"/>
      <c r="M22" s="807"/>
      <c r="N22" s="807"/>
      <c r="O22" s="807"/>
      <c r="P22" s="807"/>
      <c r="Q22" s="807"/>
      <c r="R22" s="807"/>
      <c r="S22" s="806"/>
      <c r="T22" s="788"/>
      <c r="U22" s="805"/>
    </row>
    <row r="23" spans="1:21" ht="21" customHeight="1" x14ac:dyDescent="0.2">
      <c r="A23" s="70"/>
      <c r="B23" s="800" t="s">
        <v>557</v>
      </c>
      <c r="C23" s="799"/>
      <c r="D23" s="798"/>
      <c r="E23" s="798"/>
      <c r="F23" s="797"/>
      <c r="G23" s="804"/>
      <c r="H23" s="804"/>
      <c r="I23" s="804"/>
      <c r="J23" s="804"/>
      <c r="K23" s="804"/>
      <c r="L23" s="804"/>
      <c r="M23" s="804"/>
      <c r="N23" s="804"/>
      <c r="O23" s="804"/>
      <c r="P23" s="804"/>
      <c r="Q23" s="804"/>
      <c r="R23" s="804"/>
      <c r="S23" s="806"/>
      <c r="T23" s="788"/>
      <c r="U23" s="805"/>
    </row>
    <row r="24" spans="1:21" ht="21" customHeight="1" x14ac:dyDescent="0.2">
      <c r="A24" s="70"/>
      <c r="B24" s="800" t="s">
        <v>556</v>
      </c>
      <c r="C24" s="799"/>
      <c r="D24" s="798"/>
      <c r="E24" s="798"/>
      <c r="F24" s="798"/>
      <c r="G24" s="798"/>
      <c r="H24" s="798"/>
      <c r="I24" s="798"/>
      <c r="J24" s="798"/>
      <c r="K24" s="798"/>
      <c r="L24" s="798"/>
      <c r="M24" s="798"/>
      <c r="N24" s="798"/>
      <c r="O24" s="798"/>
      <c r="P24" s="798"/>
      <c r="Q24" s="798"/>
      <c r="R24" s="798"/>
      <c r="S24" s="808"/>
      <c r="T24" s="801"/>
      <c r="U24" s="805"/>
    </row>
    <row r="25" spans="1:21" ht="21" customHeight="1" x14ac:dyDescent="0.2">
      <c r="A25" s="70"/>
      <c r="B25" s="800" t="s">
        <v>555</v>
      </c>
      <c r="C25" s="799"/>
      <c r="D25" s="798"/>
      <c r="E25" s="798"/>
      <c r="F25" s="798"/>
      <c r="G25" s="798"/>
      <c r="H25" s="798"/>
      <c r="I25" s="798"/>
      <c r="J25" s="798"/>
      <c r="K25" s="798"/>
      <c r="L25" s="798"/>
      <c r="M25" s="798"/>
      <c r="N25" s="798"/>
      <c r="O25" s="798"/>
      <c r="P25" s="798"/>
      <c r="Q25" s="798"/>
      <c r="R25" s="798"/>
      <c r="S25" s="808"/>
      <c r="T25" s="788"/>
      <c r="U25" s="805"/>
    </row>
    <row r="26" spans="1:21" ht="21" customHeight="1" x14ac:dyDescent="0.2">
      <c r="A26" s="70"/>
      <c r="B26" s="800" t="s">
        <v>554</v>
      </c>
      <c r="C26" s="799"/>
      <c r="D26" s="798"/>
      <c r="E26" s="798"/>
      <c r="F26" s="798"/>
      <c r="G26" s="798"/>
      <c r="H26" s="797"/>
      <c r="I26" s="807"/>
      <c r="J26" s="807"/>
      <c r="K26" s="807"/>
      <c r="L26" s="807"/>
      <c r="M26" s="807"/>
      <c r="N26" s="807"/>
      <c r="O26" s="807"/>
      <c r="P26" s="807"/>
      <c r="Q26" s="807"/>
      <c r="R26" s="807"/>
      <c r="S26" s="806"/>
      <c r="T26" s="801"/>
      <c r="U26" s="805"/>
    </row>
    <row r="27" spans="1:21" ht="21" customHeight="1" x14ac:dyDescent="0.2">
      <c r="A27" s="70"/>
      <c r="B27" s="800" t="s">
        <v>553</v>
      </c>
      <c r="C27" s="799"/>
      <c r="D27" s="798"/>
      <c r="E27" s="798"/>
      <c r="F27" s="798"/>
      <c r="G27" s="798"/>
      <c r="H27" s="797"/>
      <c r="I27" s="807"/>
      <c r="J27" s="807"/>
      <c r="K27" s="807"/>
      <c r="L27" s="807"/>
      <c r="M27" s="807"/>
      <c r="N27" s="807"/>
      <c r="O27" s="807"/>
      <c r="P27" s="807"/>
      <c r="Q27" s="807"/>
      <c r="R27" s="807"/>
      <c r="S27" s="806"/>
      <c r="T27" s="801"/>
      <c r="U27" s="805"/>
    </row>
    <row r="28" spans="1:21" ht="21" customHeight="1" x14ac:dyDescent="0.2">
      <c r="A28" s="70"/>
      <c r="B28" s="800" t="s">
        <v>552</v>
      </c>
      <c r="C28" s="799"/>
      <c r="D28" s="798"/>
      <c r="E28" s="798"/>
      <c r="F28" s="798"/>
      <c r="G28" s="798"/>
      <c r="H28" s="797"/>
      <c r="I28" s="807"/>
      <c r="J28" s="807"/>
      <c r="K28" s="807"/>
      <c r="L28" s="807"/>
      <c r="M28" s="807"/>
      <c r="N28" s="807"/>
      <c r="O28" s="807"/>
      <c r="P28" s="807"/>
      <c r="Q28" s="807"/>
      <c r="R28" s="807"/>
      <c r="S28" s="806"/>
      <c r="T28" s="801"/>
      <c r="U28" s="805"/>
    </row>
    <row r="29" spans="1:21" ht="21" customHeight="1" x14ac:dyDescent="0.2">
      <c r="A29" s="70"/>
      <c r="B29" s="800" t="s">
        <v>551</v>
      </c>
      <c r="C29" s="799"/>
      <c r="D29" s="798"/>
      <c r="E29" s="798"/>
      <c r="F29" s="798"/>
      <c r="G29" s="798"/>
      <c r="H29" s="797"/>
      <c r="I29" s="807"/>
      <c r="J29" s="807"/>
      <c r="K29" s="807"/>
      <c r="L29" s="807"/>
      <c r="M29" s="807"/>
      <c r="N29" s="807"/>
      <c r="O29" s="807"/>
      <c r="P29" s="807"/>
      <c r="Q29" s="807"/>
      <c r="R29" s="807"/>
      <c r="S29" s="806"/>
      <c r="T29" s="801"/>
      <c r="U29" s="805"/>
    </row>
    <row r="30" spans="1:21" ht="21" customHeight="1" x14ac:dyDescent="0.2">
      <c r="A30" s="70"/>
      <c r="B30" s="800" t="s">
        <v>550</v>
      </c>
      <c r="C30" s="799"/>
      <c r="D30" s="798"/>
      <c r="E30" s="798"/>
      <c r="F30" s="798"/>
      <c r="G30" s="798"/>
      <c r="H30" s="798"/>
      <c r="I30" s="798"/>
      <c r="J30" s="797"/>
      <c r="K30" s="804"/>
      <c r="L30" s="804"/>
      <c r="M30" s="804"/>
      <c r="N30" s="804"/>
      <c r="O30" s="804"/>
      <c r="P30" s="804"/>
      <c r="Q30" s="804"/>
      <c r="R30" s="804"/>
      <c r="S30" s="803"/>
      <c r="T30" s="801"/>
      <c r="U30" s="802"/>
    </row>
    <row r="31" spans="1:21" ht="21" customHeight="1" x14ac:dyDescent="0.2">
      <c r="A31" s="70"/>
      <c r="B31" s="800" t="s">
        <v>549</v>
      </c>
      <c r="C31" s="799"/>
      <c r="D31" s="798"/>
      <c r="E31" s="798"/>
      <c r="F31" s="798"/>
      <c r="G31" s="797"/>
      <c r="H31" s="796"/>
      <c r="I31" s="796"/>
      <c r="J31" s="796"/>
      <c r="K31" s="796"/>
      <c r="L31" s="796"/>
      <c r="M31" s="796"/>
      <c r="N31" s="796"/>
      <c r="O31" s="796"/>
      <c r="P31" s="796"/>
      <c r="Q31" s="796"/>
      <c r="R31" s="796"/>
      <c r="S31" s="795"/>
      <c r="T31" s="801"/>
      <c r="U31" s="788"/>
    </row>
    <row r="32" spans="1:21" ht="21" customHeight="1" x14ac:dyDescent="0.2">
      <c r="A32" s="70"/>
      <c r="B32" s="800" t="s">
        <v>548</v>
      </c>
      <c r="C32" s="799"/>
      <c r="D32" s="797"/>
      <c r="E32" s="796"/>
      <c r="F32" s="796"/>
      <c r="G32" s="796"/>
      <c r="H32" s="796"/>
      <c r="I32" s="796"/>
      <c r="J32" s="796"/>
      <c r="K32" s="796"/>
      <c r="L32" s="796"/>
      <c r="M32" s="796"/>
      <c r="N32" s="796"/>
      <c r="O32" s="796"/>
      <c r="P32" s="796"/>
      <c r="Q32" s="796"/>
      <c r="R32" s="796"/>
      <c r="S32" s="795"/>
      <c r="T32" s="788"/>
      <c r="U32" s="788"/>
    </row>
    <row r="33" spans="1:21" ht="21" customHeight="1" x14ac:dyDescent="0.2">
      <c r="A33" s="70"/>
      <c r="B33" s="800" t="s">
        <v>547</v>
      </c>
      <c r="C33" s="799"/>
      <c r="D33" s="797"/>
      <c r="E33" s="796"/>
      <c r="F33" s="796"/>
      <c r="G33" s="796"/>
      <c r="H33" s="796"/>
      <c r="I33" s="796"/>
      <c r="J33" s="796"/>
      <c r="K33" s="796"/>
      <c r="L33" s="796"/>
      <c r="M33" s="796"/>
      <c r="N33" s="796"/>
      <c r="O33" s="796"/>
      <c r="P33" s="796"/>
      <c r="Q33" s="796"/>
      <c r="R33" s="796"/>
      <c r="S33" s="795"/>
      <c r="T33" s="788"/>
      <c r="U33" s="788"/>
    </row>
    <row r="34" spans="1:21" ht="21" customHeight="1" x14ac:dyDescent="0.2">
      <c r="A34" s="70"/>
      <c r="B34" s="800" t="s">
        <v>546</v>
      </c>
      <c r="C34" s="799"/>
      <c r="D34" s="797"/>
      <c r="E34" s="796"/>
      <c r="F34" s="796"/>
      <c r="G34" s="796"/>
      <c r="H34" s="796"/>
      <c r="I34" s="796"/>
      <c r="J34" s="796"/>
      <c r="K34" s="796"/>
      <c r="L34" s="796"/>
      <c r="M34" s="796"/>
      <c r="N34" s="796"/>
      <c r="O34" s="796"/>
      <c r="P34" s="796"/>
      <c r="Q34" s="796"/>
      <c r="R34" s="796"/>
      <c r="S34" s="795"/>
      <c r="T34" s="788"/>
      <c r="U34" s="788"/>
    </row>
    <row r="35" spans="1:21" ht="21" customHeight="1" x14ac:dyDescent="0.2">
      <c r="A35" s="70"/>
      <c r="B35" s="800" t="s">
        <v>545</v>
      </c>
      <c r="C35" s="799"/>
      <c r="D35" s="798"/>
      <c r="E35" s="798"/>
      <c r="F35" s="798"/>
      <c r="G35" s="798"/>
      <c r="H35" s="797"/>
      <c r="I35" s="796"/>
      <c r="J35" s="796"/>
      <c r="K35" s="796"/>
      <c r="L35" s="796"/>
      <c r="M35" s="796"/>
      <c r="N35" s="796"/>
      <c r="O35" s="796"/>
      <c r="P35" s="796"/>
      <c r="Q35" s="796"/>
      <c r="R35" s="796"/>
      <c r="S35" s="795"/>
      <c r="T35" s="788"/>
      <c r="U35" s="788"/>
    </row>
    <row r="36" spans="1:21" ht="21" customHeight="1" thickBot="1" x14ac:dyDescent="0.25">
      <c r="A36" s="70"/>
      <c r="B36" s="794" t="s">
        <v>544</v>
      </c>
      <c r="C36" s="793"/>
      <c r="D36" s="792"/>
      <c r="E36" s="792"/>
      <c r="F36" s="792"/>
      <c r="G36" s="792"/>
      <c r="H36" s="791"/>
      <c r="I36" s="790"/>
      <c r="J36" s="790"/>
      <c r="K36" s="790"/>
      <c r="L36" s="790"/>
      <c r="M36" s="790"/>
      <c r="N36" s="790"/>
      <c r="O36" s="790"/>
      <c r="P36" s="790"/>
      <c r="Q36" s="790"/>
      <c r="R36" s="790"/>
      <c r="S36" s="789"/>
      <c r="T36" s="788"/>
      <c r="U36" s="787"/>
    </row>
    <row r="37" spans="1:21" ht="14.25" x14ac:dyDescent="0.2">
      <c r="A37" s="70"/>
      <c r="B37" s="786"/>
      <c r="C37" s="783"/>
      <c r="D37" s="783"/>
      <c r="E37" s="783"/>
      <c r="F37" s="783"/>
      <c r="G37" s="783"/>
      <c r="H37" s="783"/>
      <c r="I37" s="783"/>
      <c r="J37" s="783"/>
      <c r="K37" s="783"/>
      <c r="L37" s="783"/>
      <c r="M37" s="783"/>
      <c r="N37" s="783"/>
      <c r="O37" s="783"/>
      <c r="P37" s="783"/>
      <c r="Q37" s="783"/>
      <c r="R37" s="785" t="s">
        <v>543</v>
      </c>
      <c r="S37" s="782"/>
      <c r="T37" s="782"/>
      <c r="U37" s="782"/>
    </row>
    <row r="38" spans="1:21" ht="14.25" x14ac:dyDescent="0.2">
      <c r="A38" s="70"/>
      <c r="B38" s="783" t="s">
        <v>542</v>
      </c>
      <c r="C38" s="783"/>
      <c r="D38" s="783"/>
      <c r="E38" s="783"/>
      <c r="F38" s="783"/>
      <c r="G38" s="783"/>
      <c r="H38" s="783"/>
      <c r="I38" s="783"/>
      <c r="J38" s="783"/>
      <c r="K38" s="783"/>
      <c r="L38" s="784"/>
      <c r="M38" s="783" t="s">
        <v>490</v>
      </c>
      <c r="N38" s="784"/>
      <c r="O38" s="784"/>
      <c r="P38" s="784"/>
      <c r="Q38" s="784"/>
      <c r="R38" s="784"/>
      <c r="S38" s="784"/>
      <c r="T38" s="783" t="s">
        <v>490</v>
      </c>
      <c r="U38" s="784"/>
    </row>
    <row r="39" spans="1:21" ht="14.25" x14ac:dyDescent="0.2">
      <c r="A39" s="70"/>
      <c r="B39" s="783"/>
      <c r="C39" s="783"/>
      <c r="D39" s="783"/>
      <c r="E39" s="783"/>
      <c r="F39" s="783"/>
      <c r="G39" s="783"/>
      <c r="H39" s="783"/>
      <c r="I39" s="783"/>
      <c r="J39" s="783"/>
      <c r="K39" s="783"/>
      <c r="L39" s="784"/>
      <c r="M39" s="784"/>
      <c r="N39" s="784"/>
      <c r="O39" s="784"/>
      <c r="P39" s="784"/>
      <c r="Q39" s="784"/>
      <c r="R39" s="784"/>
      <c r="S39" s="784"/>
      <c r="T39" s="783"/>
      <c r="U39" s="784"/>
    </row>
    <row r="40" spans="1:21" ht="14.25" x14ac:dyDescent="0.2">
      <c r="A40" s="70"/>
      <c r="B40" s="783" t="s">
        <v>541</v>
      </c>
      <c r="C40" s="783"/>
      <c r="D40" s="783"/>
      <c r="E40" s="783"/>
      <c r="F40" s="783"/>
      <c r="G40" s="783"/>
      <c r="H40" s="783"/>
      <c r="I40" s="783"/>
      <c r="J40" s="783"/>
      <c r="K40" s="783"/>
      <c r="L40" s="783"/>
      <c r="M40" s="783" t="s">
        <v>540</v>
      </c>
      <c r="N40" s="783"/>
      <c r="O40" s="783"/>
      <c r="P40" s="783"/>
      <c r="Q40" s="783"/>
      <c r="R40" s="783"/>
      <c r="S40" s="783"/>
      <c r="T40" s="783" t="s">
        <v>539</v>
      </c>
      <c r="U40" s="783"/>
    </row>
    <row r="41" spans="1:21" ht="14.25" x14ac:dyDescent="0.2">
      <c r="A41" s="70"/>
      <c r="B41" s="783" t="s">
        <v>487</v>
      </c>
      <c r="C41" s="783"/>
      <c r="D41" s="783"/>
      <c r="E41" s="783"/>
      <c r="F41" s="783"/>
      <c r="G41" s="783"/>
      <c r="H41" s="783"/>
      <c r="I41" s="783"/>
      <c r="J41" s="783"/>
      <c r="K41" s="783"/>
      <c r="L41" s="783"/>
      <c r="M41" s="783"/>
      <c r="N41" s="783"/>
      <c r="O41" s="783"/>
      <c r="P41" s="783"/>
      <c r="Q41" s="783"/>
      <c r="R41" s="783"/>
      <c r="S41" s="783" t="s">
        <v>538</v>
      </c>
      <c r="T41" s="783" t="s">
        <v>532</v>
      </c>
      <c r="U41" s="783"/>
    </row>
    <row r="42" spans="1:21" ht="14.25" x14ac:dyDescent="0.2">
      <c r="A42" s="70"/>
      <c r="B42" s="783" t="s">
        <v>537</v>
      </c>
      <c r="C42" s="783"/>
      <c r="D42" s="783"/>
      <c r="E42" s="783"/>
      <c r="F42" s="783"/>
      <c r="G42" s="783"/>
      <c r="H42" s="783"/>
      <c r="I42" s="783"/>
      <c r="J42" s="783"/>
      <c r="K42" s="783"/>
      <c r="L42" s="783"/>
      <c r="M42" s="782"/>
      <c r="N42" s="783"/>
      <c r="O42" s="783"/>
      <c r="P42" s="783"/>
      <c r="Q42" s="783"/>
      <c r="R42" s="783"/>
      <c r="S42" s="783"/>
      <c r="T42" s="783"/>
      <c r="U42" s="783"/>
    </row>
    <row r="43" spans="1:21" ht="14.25" x14ac:dyDescent="0.2">
      <c r="A43" s="3"/>
      <c r="B43" s="783"/>
      <c r="C43" s="783"/>
      <c r="D43" s="783"/>
      <c r="E43" s="783"/>
      <c r="F43" s="783"/>
      <c r="G43" s="783"/>
      <c r="H43" s="783"/>
      <c r="I43" s="783"/>
      <c r="J43" s="783"/>
      <c r="K43" s="783"/>
      <c r="L43" s="783"/>
      <c r="M43" s="783" t="s">
        <v>536</v>
      </c>
      <c r="N43" s="783"/>
      <c r="O43" s="783"/>
      <c r="P43" s="783"/>
      <c r="Q43" s="783"/>
      <c r="R43" s="782"/>
      <c r="S43" s="782"/>
      <c r="T43" s="783" t="s">
        <v>535</v>
      </c>
      <c r="U43" s="782"/>
    </row>
    <row r="44" spans="1:21" ht="14.25" x14ac:dyDescent="0.2">
      <c r="A44" s="3"/>
      <c r="B44" s="783" t="s">
        <v>534</v>
      </c>
      <c r="C44" s="783"/>
      <c r="D44" s="783"/>
      <c r="E44" s="783"/>
      <c r="F44" s="783"/>
      <c r="G44" s="783"/>
      <c r="H44" s="783"/>
      <c r="I44" s="783"/>
      <c r="J44" s="783"/>
      <c r="K44" s="783"/>
      <c r="L44" s="783"/>
      <c r="M44" s="783"/>
      <c r="N44" s="783"/>
      <c r="O44" s="783"/>
      <c r="P44" s="783"/>
      <c r="Q44" s="783"/>
      <c r="R44" s="782"/>
      <c r="S44" s="783" t="s">
        <v>533</v>
      </c>
      <c r="T44" s="783" t="s">
        <v>532</v>
      </c>
      <c r="U44" s="783"/>
    </row>
    <row r="45" spans="1:21" ht="14.25" x14ac:dyDescent="0.2">
      <c r="A45" s="3"/>
      <c r="B45" s="783"/>
      <c r="C45" s="783"/>
      <c r="D45" s="783"/>
      <c r="E45" s="783"/>
      <c r="F45" s="783"/>
      <c r="G45" s="783"/>
      <c r="H45" s="783"/>
      <c r="I45" s="783"/>
      <c r="J45" s="783"/>
      <c r="K45" s="783"/>
      <c r="L45" s="783"/>
      <c r="M45" s="784"/>
      <c r="N45" s="784"/>
      <c r="O45" s="784"/>
      <c r="P45" s="784"/>
      <c r="Q45" s="784"/>
      <c r="R45" s="782"/>
      <c r="S45" s="782"/>
      <c r="T45" s="784"/>
      <c r="U45" s="782"/>
    </row>
    <row r="46" spans="1:21" ht="14.25" x14ac:dyDescent="0.2">
      <c r="A46" s="3"/>
      <c r="B46" s="783" t="s">
        <v>531</v>
      </c>
      <c r="C46" s="783"/>
      <c r="D46" s="783"/>
      <c r="E46" s="783"/>
      <c r="F46" s="783"/>
      <c r="G46" s="783"/>
      <c r="H46" s="783"/>
      <c r="I46" s="783"/>
      <c r="J46" s="783"/>
      <c r="K46" s="783"/>
      <c r="L46" s="783"/>
      <c r="M46" s="783" t="s">
        <v>530</v>
      </c>
      <c r="N46" s="783"/>
      <c r="O46" s="783"/>
      <c r="P46" s="783"/>
      <c r="Q46" s="783"/>
      <c r="R46" s="783"/>
      <c r="S46" s="782"/>
      <c r="T46" s="782"/>
      <c r="U46" s="782"/>
    </row>
    <row r="47" spans="1:21" ht="14.25" x14ac:dyDescent="0.2">
      <c r="A47" s="3"/>
      <c r="B47" s="719"/>
      <c r="C47" s="719"/>
      <c r="D47" s="719"/>
      <c r="E47" s="719"/>
      <c r="F47" s="719"/>
      <c r="G47" s="713"/>
      <c r="H47" s="713"/>
      <c r="I47" s="727"/>
      <c r="J47" s="727"/>
      <c r="K47" s="727"/>
      <c r="L47" s="727"/>
      <c r="M47" s="727"/>
      <c r="N47" s="727"/>
      <c r="O47" s="782"/>
      <c r="P47" s="782"/>
      <c r="Q47" s="782"/>
      <c r="R47" s="782"/>
      <c r="S47" s="782"/>
      <c r="T47" s="782"/>
      <c r="U47" s="782"/>
    </row>
    <row r="48" spans="1:21" ht="14.25" x14ac:dyDescent="0.2">
      <c r="A48" s="3"/>
      <c r="B48" s="719"/>
      <c r="C48" s="1057"/>
      <c r="D48" s="1057"/>
      <c r="E48" s="1057"/>
      <c r="F48" s="1057"/>
      <c r="G48" s="1057"/>
      <c r="H48" s="713"/>
      <c r="I48" s="727"/>
      <c r="J48" s="724"/>
      <c r="K48" s="724"/>
      <c r="L48" s="724"/>
      <c r="M48" s="724"/>
      <c r="N48" s="724"/>
      <c r="O48" s="782"/>
      <c r="P48" s="782"/>
      <c r="Q48" s="782"/>
      <c r="R48" s="782"/>
      <c r="S48" s="782"/>
      <c r="T48" s="782"/>
      <c r="U48" s="782"/>
    </row>
    <row r="49" spans="1:21" ht="14.25" x14ac:dyDescent="0.2">
      <c r="A49" s="36"/>
      <c r="B49" s="719"/>
      <c r="C49" s="718"/>
      <c r="D49" s="718"/>
      <c r="E49" s="718"/>
      <c r="F49" s="718"/>
      <c r="G49" s="713"/>
      <c r="H49" s="718"/>
      <c r="I49" s="721"/>
      <c r="J49" s="721"/>
      <c r="K49" s="721"/>
      <c r="L49" s="721"/>
      <c r="M49" s="721"/>
      <c r="N49" s="713"/>
      <c r="O49" s="782"/>
      <c r="P49" s="782"/>
      <c r="Q49" s="782"/>
      <c r="R49" s="782"/>
      <c r="S49" s="782"/>
      <c r="T49" s="782"/>
      <c r="U49" s="782"/>
    </row>
    <row r="50" spans="1:21" ht="14.25" x14ac:dyDescent="0.2">
      <c r="A50" s="36"/>
      <c r="B50" s="719"/>
      <c r="C50" s="1058"/>
      <c r="D50" s="1058"/>
      <c r="E50" s="1058"/>
      <c r="F50" s="1058"/>
      <c r="G50" s="1058"/>
      <c r="H50" s="718"/>
      <c r="I50" s="718"/>
      <c r="J50" s="718"/>
      <c r="K50" s="718"/>
      <c r="L50" s="718"/>
      <c r="M50" s="718"/>
      <c r="N50" s="713"/>
      <c r="O50" s="782"/>
      <c r="P50" s="782"/>
      <c r="Q50" s="782"/>
      <c r="R50" s="782"/>
      <c r="S50" s="782"/>
      <c r="T50" s="782"/>
      <c r="U50" s="782"/>
    </row>
    <row r="51" spans="1:21" ht="14.25" x14ac:dyDescent="0.2">
      <c r="A51" s="36"/>
      <c r="B51" s="714"/>
      <c r="C51" s="713"/>
      <c r="D51" s="713"/>
      <c r="E51" s="713"/>
      <c r="F51" s="713"/>
      <c r="G51" s="713"/>
      <c r="H51" s="713"/>
      <c r="I51" s="713"/>
      <c r="J51" s="713"/>
      <c r="K51" s="713"/>
      <c r="L51" s="713"/>
      <c r="M51" s="713"/>
      <c r="N51" s="713"/>
      <c r="O51" s="782"/>
      <c r="P51" s="782"/>
      <c r="Q51" s="782"/>
      <c r="R51" s="782"/>
      <c r="S51" s="782"/>
      <c r="T51" s="782"/>
      <c r="U51" s="782"/>
    </row>
  </sheetData>
  <mergeCells count="5">
    <mergeCell ref="C48:G48"/>
    <mergeCell ref="C50:G50"/>
    <mergeCell ref="B9:U9"/>
    <mergeCell ref="B10:U10"/>
    <mergeCell ref="B11:U11"/>
  </mergeCells>
  <pageMargins left="0.7" right="0.7" top="0.75" bottom="0.75" header="0.3" footer="0.3"/>
  <pageSetup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Q36"/>
  <sheetViews>
    <sheetView view="pageBreakPreview" topLeftCell="A16" zoomScale="150" zoomScaleNormal="100" zoomScaleSheetLayoutView="150" workbookViewId="0">
      <selection activeCell="F24" sqref="F24"/>
    </sheetView>
  </sheetViews>
  <sheetFormatPr defaultColWidth="8.85546875" defaultRowHeight="12.75" x14ac:dyDescent="0.2"/>
  <cols>
    <col min="1" max="1" width="27.42578125" style="487" customWidth="1"/>
    <col min="2" max="2" width="23.140625" style="487" customWidth="1"/>
    <col min="3" max="3" width="21.42578125" style="487" customWidth="1"/>
    <col min="4" max="16384" width="8.85546875" style="487"/>
  </cols>
  <sheetData>
    <row r="1" spans="1:17" s="501" customFormat="1" ht="18" x14ac:dyDescent="0.25">
      <c r="A1" s="515" t="s">
        <v>363</v>
      </c>
      <c r="C1" s="512"/>
    </row>
    <row r="2" spans="1:17" s="501" customFormat="1" ht="18" x14ac:dyDescent="0.25">
      <c r="A2" s="515"/>
      <c r="C2" s="512"/>
    </row>
    <row r="3" spans="1:17" s="501" customFormat="1" x14ac:dyDescent="0.2">
      <c r="A3" s="507" t="s">
        <v>362</v>
      </c>
      <c r="C3" s="512"/>
    </row>
    <row r="4" spans="1:17" s="501" customFormat="1" x14ac:dyDescent="0.2">
      <c r="A4" s="911" t="s">
        <v>802</v>
      </c>
      <c r="B4" s="513"/>
      <c r="C4" s="512"/>
    </row>
    <row r="5" spans="1:17" s="501" customFormat="1" x14ac:dyDescent="0.2">
      <c r="A5" s="911" t="s">
        <v>803</v>
      </c>
      <c r="B5" s="513"/>
      <c r="C5" s="512"/>
    </row>
    <row r="6" spans="1:17" s="501" customFormat="1" ht="15" x14ac:dyDescent="0.25">
      <c r="A6" s="514" t="s">
        <v>804</v>
      </c>
      <c r="B6" s="513"/>
      <c r="C6" s="512"/>
      <c r="H6" s="507"/>
      <c r="K6" s="507"/>
    </row>
    <row r="9" spans="1:17" s="507" customFormat="1" x14ac:dyDescent="0.2">
      <c r="A9" s="499" t="s">
        <v>361</v>
      </c>
      <c r="B9" s="511"/>
      <c r="C9" s="510"/>
      <c r="D9" s="509"/>
      <c r="E9" s="509"/>
      <c r="F9" s="508"/>
      <c r="G9" s="508"/>
      <c r="H9" s="508"/>
      <c r="I9" s="508"/>
      <c r="J9" s="497"/>
      <c r="K9" s="497"/>
      <c r="L9" s="497"/>
      <c r="M9" s="497"/>
      <c r="N9" s="497"/>
      <c r="O9" s="497"/>
      <c r="P9" s="497"/>
      <c r="Q9" s="497"/>
    </row>
    <row r="10" spans="1:17" s="507" customFormat="1" ht="5.25" customHeight="1" x14ac:dyDescent="0.2">
      <c r="A10" s="499"/>
      <c r="B10" s="511"/>
      <c r="C10" s="510"/>
      <c r="D10" s="509"/>
      <c r="E10" s="509"/>
      <c r="F10" s="508"/>
      <c r="G10" s="508"/>
      <c r="H10" s="508"/>
      <c r="I10" s="508"/>
      <c r="J10" s="497"/>
      <c r="K10" s="497"/>
      <c r="L10" s="497"/>
      <c r="M10" s="497"/>
      <c r="N10" s="497"/>
      <c r="O10" s="497"/>
      <c r="P10" s="497"/>
      <c r="Q10" s="497"/>
    </row>
    <row r="11" spans="1:17" s="501" customFormat="1" x14ac:dyDescent="0.2">
      <c r="A11" s="504"/>
      <c r="B11" s="506" t="s">
        <v>360</v>
      </c>
      <c r="C11" s="505" t="s">
        <v>359</v>
      </c>
      <c r="D11" s="503"/>
      <c r="E11" s="503"/>
      <c r="F11" s="502"/>
      <c r="G11" s="502"/>
      <c r="H11" s="502"/>
      <c r="I11" s="502"/>
      <c r="J11" s="487"/>
      <c r="K11" s="487"/>
      <c r="L11" s="487"/>
      <c r="M11" s="487"/>
      <c r="N11" s="487"/>
      <c r="O11" s="487"/>
      <c r="P11" s="487"/>
      <c r="Q11" s="487"/>
    </row>
    <row r="12" spans="1:17" s="501" customFormat="1" x14ac:dyDescent="0.2">
      <c r="A12" s="504" t="s">
        <v>358</v>
      </c>
      <c r="B12" s="495">
        <v>687633</v>
      </c>
      <c r="C12" s="495">
        <v>834555</v>
      </c>
      <c r="D12" s="503"/>
      <c r="E12" s="503"/>
      <c r="F12" s="502"/>
      <c r="G12" s="502"/>
      <c r="H12" s="502"/>
      <c r="I12" s="502"/>
      <c r="J12" s="487"/>
      <c r="K12" s="487"/>
      <c r="L12" s="487"/>
      <c r="M12" s="487"/>
      <c r="N12" s="487"/>
      <c r="O12" s="487"/>
      <c r="P12" s="487"/>
      <c r="Q12" s="487"/>
    </row>
    <row r="13" spans="1:17" s="501" customFormat="1" x14ac:dyDescent="0.2">
      <c r="A13" s="504" t="s">
        <v>357</v>
      </c>
      <c r="B13" s="495">
        <v>41283</v>
      </c>
      <c r="C13" s="495">
        <v>50103</v>
      </c>
      <c r="D13" s="503"/>
      <c r="E13" s="503"/>
      <c r="F13" s="502"/>
      <c r="G13" s="502"/>
      <c r="H13" s="502"/>
      <c r="I13" s="502"/>
      <c r="J13" s="487"/>
      <c r="K13" s="487"/>
      <c r="L13" s="487"/>
      <c r="M13" s="487"/>
      <c r="N13" s="487"/>
      <c r="O13" s="487"/>
      <c r="P13" s="487"/>
      <c r="Q13" s="487"/>
    </row>
    <row r="14" spans="1:17" s="501" customFormat="1" x14ac:dyDescent="0.2">
      <c r="A14" s="504" t="s">
        <v>356</v>
      </c>
      <c r="B14" s="495">
        <f>'[10]Prop J Main Template'!F33</f>
        <v>0</v>
      </c>
      <c r="C14" s="495">
        <f>'[11]Prop J - Main'!G45</f>
        <v>0</v>
      </c>
      <c r="D14" s="503"/>
      <c r="E14" s="503"/>
      <c r="F14" s="502"/>
      <c r="G14" s="502"/>
      <c r="H14" s="502"/>
      <c r="I14" s="502"/>
      <c r="J14" s="487"/>
      <c r="K14" s="487"/>
      <c r="L14" s="487"/>
      <c r="M14" s="487"/>
      <c r="N14" s="487"/>
      <c r="O14" s="487"/>
      <c r="P14" s="487"/>
      <c r="Q14" s="487"/>
    </row>
    <row r="15" spans="1:17" s="501" customFormat="1" x14ac:dyDescent="0.2">
      <c r="A15" s="504" t="s">
        <v>355</v>
      </c>
      <c r="B15" s="494">
        <f>'[10]Prop J Main Template'!$F$40</f>
        <v>0</v>
      </c>
      <c r="C15" s="494">
        <f>'[11]Prop J - Main'!G52</f>
        <v>0</v>
      </c>
      <c r="D15" s="503"/>
      <c r="E15" s="503"/>
      <c r="F15" s="502"/>
      <c r="G15" s="502"/>
      <c r="H15" s="502"/>
      <c r="I15" s="502"/>
      <c r="J15" s="487"/>
      <c r="K15" s="487"/>
      <c r="L15" s="487"/>
      <c r="M15" s="487"/>
      <c r="N15" s="487"/>
      <c r="O15" s="487"/>
      <c r="P15" s="487"/>
      <c r="Q15" s="487"/>
    </row>
    <row r="16" spans="1:17" x14ac:dyDescent="0.2">
      <c r="B16" s="500">
        <f>SUM(B12:B15)</f>
        <v>728916</v>
      </c>
      <c r="C16" s="500">
        <f>SUM(C12:C15)</f>
        <v>884658</v>
      </c>
    </row>
    <row r="17" spans="1:3" x14ac:dyDescent="0.2">
      <c r="B17" s="493"/>
      <c r="C17" s="493"/>
    </row>
    <row r="18" spans="1:3" s="497" customFormat="1" x14ac:dyDescent="0.2">
      <c r="A18" s="499" t="s">
        <v>354</v>
      </c>
      <c r="B18" s="498"/>
      <c r="C18" s="498"/>
    </row>
    <row r="19" spans="1:3" x14ac:dyDescent="0.2">
      <c r="B19" s="496"/>
      <c r="C19" s="496"/>
    </row>
    <row r="20" spans="1:3" x14ac:dyDescent="0.2">
      <c r="A20" s="487" t="s">
        <v>353</v>
      </c>
      <c r="B20" s="640">
        <v>177812.73</v>
      </c>
      <c r="C20" s="640">
        <f>B20*0.1+B20</f>
        <v>195594.00300000003</v>
      </c>
    </row>
    <row r="21" spans="1:3" x14ac:dyDescent="0.2">
      <c r="A21" s="487" t="s">
        <v>352</v>
      </c>
      <c r="B21" s="494">
        <v>6011</v>
      </c>
      <c r="C21" s="494">
        <v>7308</v>
      </c>
    </row>
    <row r="22" spans="1:3" x14ac:dyDescent="0.2">
      <c r="B22" s="493">
        <f>SUM(B20:B21)</f>
        <v>183823.73</v>
      </c>
      <c r="C22" s="493">
        <f>SUM(C20:C21)</f>
        <v>202902.00300000003</v>
      </c>
    </row>
    <row r="24" spans="1:3" ht="13.5" thickBot="1" x14ac:dyDescent="0.25"/>
    <row r="25" spans="1:3" ht="39" thickBot="1" x14ac:dyDescent="0.25">
      <c r="A25" s="492" t="s">
        <v>351</v>
      </c>
      <c r="B25" s="491">
        <f>B16-B22</f>
        <v>545092.27</v>
      </c>
      <c r="C25" s="491">
        <f>C16-C22</f>
        <v>681755.99699999997</v>
      </c>
    </row>
    <row r="28" spans="1:3" x14ac:dyDescent="0.2">
      <c r="A28" s="490" t="s">
        <v>350</v>
      </c>
    </row>
    <row r="29" spans="1:3" x14ac:dyDescent="0.2">
      <c r="A29" s="489" t="s">
        <v>810</v>
      </c>
      <c r="B29" s="488" t="s">
        <v>811</v>
      </c>
    </row>
    <row r="30" spans="1:3" x14ac:dyDescent="0.2">
      <c r="A30" s="489" t="s">
        <v>347</v>
      </c>
      <c r="B30" s="904" t="s">
        <v>812</v>
      </c>
    </row>
    <row r="31" spans="1:3" ht="15" x14ac:dyDescent="0.25">
      <c r="A31" s="489" t="s">
        <v>346</v>
      </c>
      <c r="B31" s="917" t="s">
        <v>813</v>
      </c>
    </row>
    <row r="32" spans="1:3" x14ac:dyDescent="0.2">
      <c r="A32" s="489"/>
    </row>
    <row r="33" spans="1:2" x14ac:dyDescent="0.2">
      <c r="A33" s="489" t="s">
        <v>349</v>
      </c>
    </row>
    <row r="34" spans="1:2" x14ac:dyDescent="0.2">
      <c r="A34" s="489" t="s">
        <v>348</v>
      </c>
      <c r="B34" s="488"/>
    </row>
    <row r="35" spans="1:2" x14ac:dyDescent="0.2">
      <c r="A35" s="489" t="s">
        <v>347</v>
      </c>
      <c r="B35" s="488"/>
    </row>
    <row r="36" spans="1:2" x14ac:dyDescent="0.2">
      <c r="A36" s="489" t="s">
        <v>346</v>
      </c>
      <c r="B36" s="488"/>
    </row>
  </sheetData>
  <hyperlinks>
    <hyperlink ref="B31" r:id="rId1"/>
  </hyperlinks>
  <pageMargins left="0.26" right="0.7" top="0.44" bottom="0.75" header="0.3" footer="0.3"/>
  <pageSetup orientation="portrait"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8"/>
  <sheetViews>
    <sheetView view="pageBreakPreview" zoomScale="90" zoomScaleNormal="100" zoomScaleSheetLayoutView="90" workbookViewId="0">
      <selection activeCell="F12" sqref="F12:F14"/>
    </sheetView>
  </sheetViews>
  <sheetFormatPr defaultColWidth="7.42578125" defaultRowHeight="12.75" x14ac:dyDescent="0.2"/>
  <cols>
    <col min="1" max="1" width="34.42578125" style="516" customWidth="1"/>
    <col min="2" max="2" width="10.28515625" style="516" customWidth="1"/>
    <col min="3" max="3" width="12.42578125" style="517" bestFit="1" customWidth="1"/>
    <col min="4" max="4" width="8.7109375" style="516" customWidth="1"/>
    <col min="5" max="5" width="7.42578125" style="516"/>
    <col min="6" max="7" width="12.7109375" style="516" customWidth="1"/>
    <col min="8" max="8" width="5.42578125" style="516" customWidth="1"/>
    <col min="9" max="9" width="10.28515625" style="516" customWidth="1"/>
    <col min="10" max="10" width="7.42578125" style="516"/>
    <col min="11" max="11" width="7.85546875" style="516" customWidth="1"/>
    <col min="12" max="12" width="8.42578125" style="516" customWidth="1"/>
    <col min="13" max="13" width="10.7109375" style="516" bestFit="1" customWidth="1"/>
    <col min="14" max="14" width="11.42578125" style="516" customWidth="1"/>
    <col min="15" max="15" width="9.42578125" style="516" customWidth="1"/>
    <col min="16" max="16" width="9.7109375" style="516" hidden="1" customWidth="1"/>
    <col min="17" max="16384" width="7.42578125" style="516"/>
  </cols>
  <sheetData>
    <row r="1" spans="1:16" s="620" customFormat="1" ht="18" x14ac:dyDescent="0.25">
      <c r="A1" s="623" t="s">
        <v>363</v>
      </c>
      <c r="B1" s="622"/>
      <c r="C1" s="621"/>
    </row>
    <row r="2" spans="1:16" ht="10.5" customHeight="1" x14ac:dyDescent="0.25">
      <c r="B2" s="536"/>
      <c r="I2" s="620"/>
      <c r="J2" s="620"/>
      <c r="K2" s="620"/>
      <c r="L2" s="620"/>
    </row>
    <row r="3" spans="1:16" x14ac:dyDescent="0.2">
      <c r="A3" s="544" t="s">
        <v>403</v>
      </c>
      <c r="B3" s="536"/>
      <c r="I3" s="1063" t="s">
        <v>402</v>
      </c>
      <c r="J3" s="1063"/>
      <c r="K3" s="1063"/>
      <c r="L3" s="1063"/>
      <c r="M3" s="1063"/>
    </row>
    <row r="4" spans="1:16" x14ac:dyDescent="0.2">
      <c r="A4" s="544" t="s">
        <v>401</v>
      </c>
      <c r="B4" s="536"/>
      <c r="I4" s="1063"/>
      <c r="J4" s="1063"/>
      <c r="K4" s="1063"/>
      <c r="L4" s="1063"/>
      <c r="M4" s="1063"/>
    </row>
    <row r="5" spans="1:16" x14ac:dyDescent="0.2">
      <c r="A5" s="536" t="s">
        <v>400</v>
      </c>
      <c r="B5" s="536"/>
      <c r="I5" s="1063"/>
      <c r="J5" s="1063"/>
      <c r="K5" s="1063"/>
      <c r="L5" s="1063"/>
      <c r="M5" s="1063"/>
    </row>
    <row r="6" spans="1:16" ht="15" x14ac:dyDescent="0.25">
      <c r="A6" s="514" t="s">
        <v>582</v>
      </c>
      <c r="B6" s="536"/>
    </row>
    <row r="7" spans="1:16" ht="17.25" customHeight="1" x14ac:dyDescent="0.25">
      <c r="A7" s="520"/>
      <c r="B7" s="536"/>
      <c r="I7" s="619" t="s">
        <v>399</v>
      </c>
    </row>
    <row r="8" spans="1:16" x14ac:dyDescent="0.2">
      <c r="A8" s="615" t="s">
        <v>398</v>
      </c>
      <c r="B8" s="536"/>
      <c r="H8" s="618"/>
    </row>
    <row r="9" spans="1:16" x14ac:dyDescent="0.2">
      <c r="A9" s="615"/>
      <c r="B9" s="536"/>
      <c r="I9" s="615" t="s">
        <v>397</v>
      </c>
      <c r="K9" s="617"/>
    </row>
    <row r="10" spans="1:16" x14ac:dyDescent="0.2">
      <c r="A10" s="616" t="s">
        <v>396</v>
      </c>
      <c r="J10" s="615"/>
    </row>
    <row r="11" spans="1:16" ht="40.5" customHeight="1" x14ac:dyDescent="0.2">
      <c r="A11" s="614" t="s">
        <v>100</v>
      </c>
      <c r="B11" s="613" t="s">
        <v>395</v>
      </c>
      <c r="C11" s="612" t="s">
        <v>394</v>
      </c>
      <c r="D11" s="611" t="s">
        <v>393</v>
      </c>
      <c r="E11" s="611"/>
      <c r="F11" s="610" t="s">
        <v>392</v>
      </c>
      <c r="G11" s="609" t="s">
        <v>391</v>
      </c>
      <c r="H11" s="608"/>
      <c r="I11" s="607" t="s">
        <v>390</v>
      </c>
      <c r="J11" s="606" t="s">
        <v>389</v>
      </c>
      <c r="K11" s="605" t="s">
        <v>385</v>
      </c>
      <c r="L11" s="605" t="s">
        <v>388</v>
      </c>
      <c r="M11" s="605" t="s">
        <v>387</v>
      </c>
      <c r="N11" s="605" t="s">
        <v>386</v>
      </c>
      <c r="O11" s="604" t="s">
        <v>385</v>
      </c>
    </row>
    <row r="12" spans="1:16" x14ac:dyDescent="0.2">
      <c r="A12" s="909" t="s">
        <v>793</v>
      </c>
      <c r="B12" s="908" t="s">
        <v>794</v>
      </c>
      <c r="C12" s="603">
        <v>16</v>
      </c>
      <c r="D12" s="907">
        <v>1615</v>
      </c>
      <c r="E12" s="905">
        <v>1960</v>
      </c>
      <c r="F12" s="602">
        <f t="shared" ref="F12:F22" si="0">C12*D12*26.1</f>
        <v>674424</v>
      </c>
      <c r="G12" s="601">
        <f t="shared" ref="G12:G22" si="1">C12*E12*26.1</f>
        <v>818496</v>
      </c>
      <c r="H12" s="600"/>
      <c r="I12" s="599"/>
      <c r="J12" s="594"/>
      <c r="K12" s="572"/>
      <c r="L12" s="581"/>
      <c r="M12" s="572">
        <f t="shared" ref="M12:M22" si="2">F12*L12</f>
        <v>0</v>
      </c>
      <c r="N12" s="572">
        <f t="shared" ref="N12:N22" si="3">G12*L12</f>
        <v>0</v>
      </c>
      <c r="O12" s="586">
        <f t="shared" ref="O12:O22" si="4">C12*K12</f>
        <v>0</v>
      </c>
      <c r="P12" s="597" t="s">
        <v>384</v>
      </c>
    </row>
    <row r="13" spans="1:16" x14ac:dyDescent="0.2">
      <c r="A13" s="906" t="s">
        <v>795</v>
      </c>
      <c r="B13" s="904" t="s">
        <v>796</v>
      </c>
      <c r="C13" s="596">
        <v>0.1</v>
      </c>
      <c r="D13" s="907">
        <v>2758</v>
      </c>
      <c r="E13" s="905">
        <v>3353</v>
      </c>
      <c r="F13" s="589">
        <f t="shared" si="0"/>
        <v>7198.380000000001</v>
      </c>
      <c r="G13" s="588">
        <f t="shared" si="1"/>
        <v>8751.33</v>
      </c>
      <c r="H13" s="502"/>
      <c r="I13" s="595"/>
      <c r="J13" s="594"/>
      <c r="K13" s="572"/>
      <c r="L13" s="581"/>
      <c r="M13" s="572">
        <f t="shared" si="2"/>
        <v>0</v>
      </c>
      <c r="N13" s="572">
        <f t="shared" si="3"/>
        <v>0</v>
      </c>
      <c r="O13" s="586">
        <f t="shared" si="4"/>
        <v>0</v>
      </c>
      <c r="P13" s="597" t="s">
        <v>44</v>
      </c>
    </row>
    <row r="14" spans="1:16" x14ac:dyDescent="0.2">
      <c r="A14" s="906" t="s">
        <v>797</v>
      </c>
      <c r="B14" s="904" t="s">
        <v>798</v>
      </c>
      <c r="C14" s="596">
        <v>0.1</v>
      </c>
      <c r="D14" s="907">
        <v>2303</v>
      </c>
      <c r="E14" s="905">
        <v>2800</v>
      </c>
      <c r="F14" s="589">
        <f t="shared" si="0"/>
        <v>6010.8300000000008</v>
      </c>
      <c r="G14" s="588">
        <f t="shared" si="1"/>
        <v>7308</v>
      </c>
      <c r="H14" s="502"/>
      <c r="I14" s="595"/>
      <c r="J14" s="594"/>
      <c r="K14" s="572"/>
      <c r="L14" s="581"/>
      <c r="M14" s="572">
        <f t="shared" si="2"/>
        <v>0</v>
      </c>
      <c r="N14" s="572">
        <f t="shared" si="3"/>
        <v>0</v>
      </c>
      <c r="O14" s="586">
        <f t="shared" si="4"/>
        <v>0</v>
      </c>
      <c r="P14" s="597" t="s">
        <v>383</v>
      </c>
    </row>
    <row r="15" spans="1:16" x14ac:dyDescent="0.2">
      <c r="A15" s="580"/>
      <c r="B15" s="488"/>
      <c r="C15" s="596"/>
      <c r="D15" s="577"/>
      <c r="E15" s="577"/>
      <c r="F15" s="589">
        <f t="shared" si="0"/>
        <v>0</v>
      </c>
      <c r="G15" s="588">
        <f t="shared" si="1"/>
        <v>0</v>
      </c>
      <c r="H15" s="502"/>
      <c r="I15" s="595"/>
      <c r="J15" s="594"/>
      <c r="K15" s="572"/>
      <c r="L15" s="581"/>
      <c r="M15" s="572">
        <f t="shared" si="2"/>
        <v>0</v>
      </c>
      <c r="N15" s="572">
        <f t="shared" si="3"/>
        <v>0</v>
      </c>
      <c r="O15" s="586">
        <f t="shared" si="4"/>
        <v>0</v>
      </c>
      <c r="P15" s="597" t="s">
        <v>40</v>
      </c>
    </row>
    <row r="16" spans="1:16" x14ac:dyDescent="0.2">
      <c r="A16" s="580"/>
      <c r="B16" s="488"/>
      <c r="C16" s="596"/>
      <c r="D16" s="577"/>
      <c r="E16" s="577"/>
      <c r="F16" s="589">
        <f t="shared" si="0"/>
        <v>0</v>
      </c>
      <c r="G16" s="588">
        <f t="shared" si="1"/>
        <v>0</v>
      </c>
      <c r="H16" s="502"/>
      <c r="I16" s="595"/>
      <c r="J16" s="594"/>
      <c r="K16" s="572"/>
      <c r="L16" s="581"/>
      <c r="M16" s="572">
        <f t="shared" si="2"/>
        <v>0</v>
      </c>
      <c r="N16" s="572">
        <f t="shared" si="3"/>
        <v>0</v>
      </c>
      <c r="O16" s="586">
        <f t="shared" si="4"/>
        <v>0</v>
      </c>
      <c r="P16" s="597"/>
    </row>
    <row r="17" spans="1:16" x14ac:dyDescent="0.2">
      <c r="A17" s="580"/>
      <c r="B17" s="598"/>
      <c r="C17" s="596"/>
      <c r="D17" s="577"/>
      <c r="E17" s="577"/>
      <c r="F17" s="589">
        <f t="shared" si="0"/>
        <v>0</v>
      </c>
      <c r="G17" s="588">
        <f t="shared" si="1"/>
        <v>0</v>
      </c>
      <c r="H17" s="502"/>
      <c r="I17" s="595"/>
      <c r="J17" s="594"/>
      <c r="K17" s="572"/>
      <c r="L17" s="581"/>
      <c r="M17" s="572">
        <f t="shared" si="2"/>
        <v>0</v>
      </c>
      <c r="N17" s="572">
        <f t="shared" si="3"/>
        <v>0</v>
      </c>
      <c r="O17" s="586">
        <f t="shared" si="4"/>
        <v>0</v>
      </c>
      <c r="P17" s="597"/>
    </row>
    <row r="18" spans="1:16" x14ac:dyDescent="0.2">
      <c r="A18" s="580"/>
      <c r="B18" s="488"/>
      <c r="C18" s="596"/>
      <c r="D18" s="577"/>
      <c r="E18" s="577"/>
      <c r="F18" s="589">
        <f t="shared" si="0"/>
        <v>0</v>
      </c>
      <c r="G18" s="588">
        <f t="shared" si="1"/>
        <v>0</v>
      </c>
      <c r="H18" s="502"/>
      <c r="I18" s="595"/>
      <c r="J18" s="594"/>
      <c r="K18" s="572"/>
      <c r="L18" s="581"/>
      <c r="M18" s="572">
        <f t="shared" si="2"/>
        <v>0</v>
      </c>
      <c r="N18" s="572">
        <f t="shared" si="3"/>
        <v>0</v>
      </c>
      <c r="O18" s="586">
        <f t="shared" si="4"/>
        <v>0</v>
      </c>
      <c r="P18" s="597"/>
    </row>
    <row r="19" spans="1:16" x14ac:dyDescent="0.2">
      <c r="A19" s="580"/>
      <c r="B19" s="488"/>
      <c r="C19" s="596"/>
      <c r="D19" s="577"/>
      <c r="E19" s="577"/>
      <c r="F19" s="589">
        <f t="shared" si="0"/>
        <v>0</v>
      </c>
      <c r="G19" s="588">
        <f t="shared" si="1"/>
        <v>0</v>
      </c>
      <c r="H19" s="502"/>
      <c r="I19" s="595"/>
      <c r="J19" s="594"/>
      <c r="K19" s="572"/>
      <c r="L19" s="581"/>
      <c r="M19" s="572">
        <f t="shared" si="2"/>
        <v>0</v>
      </c>
      <c r="N19" s="572">
        <f t="shared" si="3"/>
        <v>0</v>
      </c>
      <c r="O19" s="586">
        <f t="shared" si="4"/>
        <v>0</v>
      </c>
      <c r="P19" s="597"/>
    </row>
    <row r="20" spans="1:16" ht="13.5" customHeight="1" x14ac:dyDescent="0.2">
      <c r="A20" s="580"/>
      <c r="B20" s="488"/>
      <c r="C20" s="596"/>
      <c r="D20" s="577"/>
      <c r="E20" s="577"/>
      <c r="F20" s="589">
        <f t="shared" si="0"/>
        <v>0</v>
      </c>
      <c r="G20" s="588">
        <f t="shared" si="1"/>
        <v>0</v>
      </c>
      <c r="H20" s="502"/>
      <c r="I20" s="595"/>
      <c r="J20" s="594"/>
      <c r="K20" s="572"/>
      <c r="L20" s="581"/>
      <c r="M20" s="572">
        <f t="shared" si="2"/>
        <v>0</v>
      </c>
      <c r="N20" s="572">
        <f t="shared" si="3"/>
        <v>0</v>
      </c>
      <c r="O20" s="586">
        <f t="shared" si="4"/>
        <v>0</v>
      </c>
    </row>
    <row r="21" spans="1:16" ht="13.5" customHeight="1" x14ac:dyDescent="0.2">
      <c r="A21" s="580"/>
      <c r="B21" s="488"/>
      <c r="C21" s="596"/>
      <c r="D21" s="577"/>
      <c r="E21" s="577"/>
      <c r="F21" s="589">
        <f t="shared" si="0"/>
        <v>0</v>
      </c>
      <c r="G21" s="588">
        <f t="shared" si="1"/>
        <v>0</v>
      </c>
      <c r="H21" s="502"/>
      <c r="I21" s="595"/>
      <c r="J21" s="594"/>
      <c r="K21" s="572"/>
      <c r="L21" s="581"/>
      <c r="M21" s="572">
        <f t="shared" si="2"/>
        <v>0</v>
      </c>
      <c r="N21" s="572">
        <f t="shared" si="3"/>
        <v>0</v>
      </c>
      <c r="O21" s="586">
        <f t="shared" si="4"/>
        <v>0</v>
      </c>
    </row>
    <row r="22" spans="1:16" x14ac:dyDescent="0.2">
      <c r="A22" s="580"/>
      <c r="B22" s="488"/>
      <c r="C22" s="596"/>
      <c r="D22" s="577"/>
      <c r="E22" s="577"/>
      <c r="F22" s="589">
        <f t="shared" si="0"/>
        <v>0</v>
      </c>
      <c r="G22" s="588">
        <f t="shared" si="1"/>
        <v>0</v>
      </c>
      <c r="H22" s="502"/>
      <c r="I22" s="595"/>
      <c r="J22" s="594"/>
      <c r="K22" s="572"/>
      <c r="L22" s="581"/>
      <c r="M22" s="572">
        <f t="shared" si="2"/>
        <v>0</v>
      </c>
      <c r="N22" s="572">
        <f t="shared" si="3"/>
        <v>0</v>
      </c>
      <c r="O22" s="586">
        <f t="shared" si="4"/>
        <v>0</v>
      </c>
    </row>
    <row r="23" spans="1:16" ht="6" customHeight="1" x14ac:dyDescent="0.2">
      <c r="A23" s="593"/>
      <c r="B23" s="592"/>
      <c r="C23" s="591"/>
      <c r="D23" s="590"/>
      <c r="E23" s="590"/>
      <c r="F23" s="589"/>
      <c r="G23" s="588"/>
      <c r="H23" s="502"/>
      <c r="I23" s="587"/>
      <c r="J23" s="583"/>
      <c r="K23" s="572"/>
      <c r="L23" s="581"/>
      <c r="M23" s="572"/>
      <c r="N23" s="572"/>
      <c r="O23" s="586"/>
    </row>
    <row r="24" spans="1:16" x14ac:dyDescent="0.2">
      <c r="A24" s="580" t="s">
        <v>382</v>
      </c>
      <c r="B24" s="579"/>
      <c r="C24" s="578"/>
      <c r="D24" s="577"/>
      <c r="E24" s="577"/>
      <c r="F24" s="576">
        <f>SUM(F12:F22)/260*11*1.5*0.5</f>
        <v>21819.130701923074</v>
      </c>
      <c r="G24" s="575">
        <f>SUM(G12:G22)/260*11*1.5*0.5</f>
        <v>26481.082586538458</v>
      </c>
      <c r="H24" s="502"/>
      <c r="I24" s="584" t="s">
        <v>379</v>
      </c>
      <c r="J24" s="583"/>
      <c r="K24" s="582" t="s">
        <v>379</v>
      </c>
      <c r="L24" s="581"/>
      <c r="M24" s="572">
        <f>F24*L24</f>
        <v>0</v>
      </c>
      <c r="N24" s="572">
        <f>G24*L24</f>
        <v>0</v>
      </c>
      <c r="O24" s="585" t="s">
        <v>379</v>
      </c>
    </row>
    <row r="25" spans="1:16" x14ac:dyDescent="0.2">
      <c r="A25" s="580" t="s">
        <v>381</v>
      </c>
      <c r="B25" s="579"/>
      <c r="C25" s="578"/>
      <c r="D25" s="577"/>
      <c r="E25" s="577"/>
      <c r="F25" s="576">
        <f>SUM(F12:F22)*0.085*0.333</f>
        <v>19463.458009050002</v>
      </c>
      <c r="G25" s="575">
        <f>SUM(G12:G22)*0.085*0.333</f>
        <v>23622.088615650002</v>
      </c>
      <c r="H25" s="502"/>
      <c r="I25" s="584" t="s">
        <v>379</v>
      </c>
      <c r="J25" s="583"/>
      <c r="K25" s="582" t="s">
        <v>379</v>
      </c>
      <c r="L25" s="581"/>
      <c r="M25" s="572">
        <f>F25*L25</f>
        <v>0</v>
      </c>
      <c r="N25" s="572">
        <f>G25*L25</f>
        <v>0</v>
      </c>
      <c r="O25" s="571" t="s">
        <v>379</v>
      </c>
    </row>
    <row r="26" spans="1:16" x14ac:dyDescent="0.2">
      <c r="A26" s="580" t="s">
        <v>380</v>
      </c>
      <c r="B26" s="579"/>
      <c r="C26" s="578"/>
      <c r="D26" s="577"/>
      <c r="E26" s="577"/>
      <c r="F26" s="576">
        <v>0</v>
      </c>
      <c r="G26" s="575">
        <v>0</v>
      </c>
      <c r="H26" s="502"/>
      <c r="I26" s="584" t="s">
        <v>379</v>
      </c>
      <c r="J26" s="583"/>
      <c r="K26" s="582" t="s">
        <v>379</v>
      </c>
      <c r="L26" s="581"/>
      <c r="M26" s="572">
        <f>F26*L26</f>
        <v>0</v>
      </c>
      <c r="N26" s="572">
        <f>G26*L26</f>
        <v>0</v>
      </c>
      <c r="O26" s="571" t="s">
        <v>379</v>
      </c>
    </row>
    <row r="27" spans="1:16" x14ac:dyDescent="0.2">
      <c r="A27" s="580" t="s">
        <v>378</v>
      </c>
      <c r="B27" s="579"/>
      <c r="C27" s="578"/>
      <c r="D27" s="577"/>
      <c r="E27" s="577"/>
      <c r="F27" s="576">
        <v>0</v>
      </c>
      <c r="G27" s="575">
        <v>0</v>
      </c>
      <c r="H27" s="502"/>
      <c r="I27" s="564"/>
      <c r="J27" s="563"/>
      <c r="K27" s="574"/>
      <c r="L27" s="573"/>
      <c r="M27" s="572"/>
      <c r="N27" s="572"/>
      <c r="O27" s="571"/>
    </row>
    <row r="28" spans="1:16" ht="12.75" customHeight="1" x14ac:dyDescent="0.2">
      <c r="A28" s="570" t="s">
        <v>377</v>
      </c>
      <c r="B28" s="569"/>
      <c r="C28" s="568">
        <f>SUM(C12:C22)</f>
        <v>16.200000000000003</v>
      </c>
      <c r="D28" s="567" t="s">
        <v>366</v>
      </c>
      <c r="E28" s="566"/>
      <c r="F28" s="565">
        <f>SUM(F12:F27)</f>
        <v>728915.798710973</v>
      </c>
      <c r="G28" s="560">
        <f>SUM(G12:G27)</f>
        <v>884658.50120218843</v>
      </c>
      <c r="H28" s="550"/>
      <c r="I28" s="564"/>
      <c r="J28" s="563"/>
      <c r="K28" s="562"/>
      <c r="L28" s="562"/>
      <c r="M28" s="561">
        <f>SUM(M12:M26)</f>
        <v>0</v>
      </c>
      <c r="N28" s="561">
        <f>SUM(N12:N26)</f>
        <v>0</v>
      </c>
      <c r="O28" s="560">
        <f>SUM(O12:O26)</f>
        <v>0</v>
      </c>
    </row>
    <row r="29" spans="1:16" ht="12.75" customHeight="1" x14ac:dyDescent="0.2">
      <c r="A29" s="536"/>
      <c r="B29" s="536"/>
      <c r="C29" s="537"/>
      <c r="D29" s="536"/>
      <c r="E29" s="536"/>
      <c r="F29" s="536"/>
      <c r="G29" s="536"/>
      <c r="H29" s="536"/>
      <c r="I29" s="557"/>
    </row>
    <row r="30" spans="1:16" x14ac:dyDescent="0.2">
      <c r="A30" s="559" t="s">
        <v>376</v>
      </c>
      <c r="B30" s="513"/>
      <c r="C30" s="558" t="s">
        <v>366</v>
      </c>
      <c r="D30" s="513"/>
      <c r="E30" s="513"/>
      <c r="F30" s="513"/>
      <c r="G30" s="513"/>
      <c r="H30" s="513"/>
      <c r="I30" s="557"/>
    </row>
    <row r="31" spans="1:16" x14ac:dyDescent="0.2">
      <c r="A31" s="556" t="s">
        <v>375</v>
      </c>
      <c r="B31" s="542" t="s">
        <v>366</v>
      </c>
      <c r="C31" s="555" t="s">
        <v>366</v>
      </c>
      <c r="D31" s="554" t="s">
        <v>366</v>
      </c>
      <c r="E31" s="542"/>
      <c r="F31" s="553">
        <v>0</v>
      </c>
      <c r="G31" s="553">
        <v>0</v>
      </c>
      <c r="H31" s="502"/>
    </row>
    <row r="32" spans="1:16" x14ac:dyDescent="0.2">
      <c r="A32" s="554" t="s">
        <v>374</v>
      </c>
      <c r="B32" s="554" t="s">
        <v>366</v>
      </c>
      <c r="C32" s="555" t="s">
        <v>366</v>
      </c>
      <c r="D32" s="554" t="s">
        <v>366</v>
      </c>
      <c r="E32" s="542"/>
      <c r="F32" s="553">
        <v>0</v>
      </c>
      <c r="G32" s="553">
        <v>0</v>
      </c>
      <c r="H32" s="502"/>
    </row>
    <row r="33" spans="1:8" x14ac:dyDescent="0.2">
      <c r="A33" s="552" t="s">
        <v>356</v>
      </c>
      <c r="B33" s="542"/>
      <c r="C33" s="543"/>
      <c r="D33" s="542"/>
      <c r="E33" s="542"/>
      <c r="F33" s="551">
        <f>F31+F32</f>
        <v>0</v>
      </c>
      <c r="G33" s="551">
        <f>G31+G32</f>
        <v>0</v>
      </c>
      <c r="H33" s="550"/>
    </row>
    <row r="34" spans="1:8" x14ac:dyDescent="0.2">
      <c r="A34" s="513"/>
      <c r="B34" s="513"/>
      <c r="C34" s="530"/>
      <c r="D34" s="513"/>
      <c r="E34" s="513"/>
      <c r="F34" s="513"/>
      <c r="G34" s="513"/>
      <c r="H34" s="513"/>
    </row>
    <row r="35" spans="1:8" x14ac:dyDescent="0.2">
      <c r="A35" s="549" t="s">
        <v>373</v>
      </c>
      <c r="B35" s="544"/>
      <c r="C35" s="548"/>
      <c r="D35" s="542"/>
      <c r="E35" s="542"/>
      <c r="F35" s="544"/>
      <c r="G35" s="544"/>
      <c r="H35" s="536"/>
    </row>
    <row r="36" spans="1:8" x14ac:dyDescent="0.2">
      <c r="A36" s="1064"/>
      <c r="B36" s="1064"/>
      <c r="C36" s="1064"/>
      <c r="D36" s="1064"/>
      <c r="E36" s="1064"/>
      <c r="F36" s="544">
        <v>0</v>
      </c>
      <c r="G36" s="547">
        <f>F36</f>
        <v>0</v>
      </c>
      <c r="H36" s="536"/>
    </row>
    <row r="37" spans="1:8" x14ac:dyDescent="0.2">
      <c r="A37" s="1064"/>
      <c r="B37" s="1064"/>
      <c r="C37" s="1064"/>
      <c r="D37" s="1064"/>
      <c r="E37" s="1064"/>
      <c r="F37" s="544">
        <v>0</v>
      </c>
      <c r="G37" s="547">
        <f>F37</f>
        <v>0</v>
      </c>
      <c r="H37" s="536"/>
    </row>
    <row r="38" spans="1:8" x14ac:dyDescent="0.2">
      <c r="A38" s="1064"/>
      <c r="B38" s="1064"/>
      <c r="C38" s="1064"/>
      <c r="D38" s="1064"/>
      <c r="E38" s="1064"/>
      <c r="F38" s="544">
        <v>0</v>
      </c>
      <c r="G38" s="547">
        <f>F38</f>
        <v>0</v>
      </c>
      <c r="H38" s="536"/>
    </row>
    <row r="39" spans="1:8" x14ac:dyDescent="0.2">
      <c r="A39" s="1064"/>
      <c r="B39" s="1064"/>
      <c r="C39" s="1064"/>
      <c r="D39" s="1064"/>
      <c r="E39" s="1064"/>
      <c r="F39" s="544">
        <v>0</v>
      </c>
      <c r="G39" s="546">
        <f>F39</f>
        <v>0</v>
      </c>
      <c r="H39" s="536"/>
    </row>
    <row r="40" spans="1:8" x14ac:dyDescent="0.2">
      <c r="A40" s="545" t="s">
        <v>372</v>
      </c>
      <c r="B40" s="544"/>
      <c r="C40" s="543"/>
      <c r="D40" s="542"/>
      <c r="E40" s="542"/>
      <c r="F40" s="541">
        <f>SUM(F36:F39)</f>
        <v>0</v>
      </c>
      <c r="G40" s="541">
        <f>SUM(G36:G39)</f>
        <v>0</v>
      </c>
      <c r="H40" s="539"/>
    </row>
    <row r="41" spans="1:8" x14ac:dyDescent="0.2">
      <c r="A41" s="513"/>
      <c r="B41" s="536"/>
      <c r="C41" s="530"/>
      <c r="D41" s="513"/>
      <c r="E41" s="513"/>
      <c r="F41" s="513"/>
      <c r="G41" s="513"/>
      <c r="H41" s="513"/>
    </row>
    <row r="42" spans="1:8" x14ac:dyDescent="0.2">
      <c r="A42" s="538" t="s">
        <v>371</v>
      </c>
      <c r="B42" s="513"/>
      <c r="C42" s="530"/>
      <c r="D42" s="513"/>
      <c r="E42" s="513"/>
      <c r="F42" s="540">
        <f>F28+F33+F40</f>
        <v>728915.798710973</v>
      </c>
      <c r="G42" s="540">
        <f>G28+G33+G40</f>
        <v>884658.50120218843</v>
      </c>
      <c r="H42" s="539"/>
    </row>
    <row r="43" spans="1:8" x14ac:dyDescent="0.2">
      <c r="A43" s="513"/>
      <c r="B43" s="513"/>
      <c r="C43" s="530"/>
      <c r="D43" s="513"/>
      <c r="E43" s="513"/>
      <c r="F43" s="513"/>
      <c r="G43" s="513"/>
      <c r="H43" s="513"/>
    </row>
    <row r="44" spans="1:8" x14ac:dyDescent="0.2">
      <c r="A44" s="538" t="s">
        <v>370</v>
      </c>
      <c r="B44" s="536"/>
      <c r="C44" s="537"/>
      <c r="D44" s="536"/>
      <c r="E44" s="536"/>
      <c r="F44" s="535">
        <f>-('[12]PropJ 1415 Contract Cost Detail'!F5+'[12]PropJ 1415 Contract Cost Detail'!P10+'[12]PropJ 1415 Contract Cost Detail'!P14)</f>
        <v>0</v>
      </c>
      <c r="G44" s="534">
        <f>-('[12]PropJ 1415 Contract Cost Detail'!G5+'[12]PropJ 1415 Contract Cost Detail'!Q10+'[12]PropJ 1415 Contract Cost Detail'!Q14)</f>
        <v>0</v>
      </c>
      <c r="H44" s="533"/>
    </row>
    <row r="45" spans="1:8" x14ac:dyDescent="0.2">
      <c r="A45" s="513"/>
      <c r="B45" s="513"/>
      <c r="C45" s="530"/>
      <c r="D45" s="513"/>
      <c r="E45" s="513"/>
      <c r="F45" s="532"/>
      <c r="G45" s="532"/>
      <c r="H45" s="503"/>
    </row>
    <row r="46" spans="1:8" ht="13.5" thickBot="1" x14ac:dyDescent="0.25">
      <c r="A46" s="531" t="s">
        <v>369</v>
      </c>
      <c r="B46" s="513"/>
      <c r="C46" s="530"/>
      <c r="D46" s="513"/>
      <c r="E46" s="513"/>
      <c r="F46" s="529">
        <f>F42+F44</f>
        <v>728915.798710973</v>
      </c>
      <c r="G46" s="529">
        <f>G42+G44</f>
        <v>884658.50120218843</v>
      </c>
      <c r="H46" s="528"/>
    </row>
    <row r="47" spans="1:8" ht="13.5" thickTop="1" x14ac:dyDescent="0.2">
      <c r="A47" s="527" t="s">
        <v>368</v>
      </c>
      <c r="F47" s="526">
        <f>F46/F42</f>
        <v>1</v>
      </c>
      <c r="G47" s="525">
        <f>G46/G42</f>
        <v>1</v>
      </c>
      <c r="H47" s="524"/>
    </row>
    <row r="48" spans="1:8" x14ac:dyDescent="0.2">
      <c r="F48" s="523"/>
      <c r="G48" s="523"/>
      <c r="H48" s="523"/>
    </row>
    <row r="49" spans="1:15" x14ac:dyDescent="0.2">
      <c r="A49" s="522" t="s">
        <v>367</v>
      </c>
      <c r="C49" s="521" t="s">
        <v>366</v>
      </c>
    </row>
    <row r="50" spans="1:15" ht="12.75" customHeight="1" x14ac:dyDescent="0.2">
      <c r="A50" s="1062" t="s">
        <v>799</v>
      </c>
      <c r="B50" s="1062"/>
      <c r="C50" s="1062"/>
      <c r="D50" s="1062"/>
      <c r="E50" s="1062"/>
      <c r="F50" s="1062"/>
      <c r="G50" s="1062"/>
      <c r="H50" s="518"/>
      <c r="I50" s="518"/>
      <c r="J50" s="518"/>
      <c r="K50" s="518"/>
      <c r="L50" s="518"/>
      <c r="M50" s="518"/>
      <c r="N50" s="518"/>
      <c r="O50" s="518"/>
    </row>
    <row r="51" spans="1:15" ht="13.5" customHeight="1" x14ac:dyDescent="0.2">
      <c r="A51" s="1061" t="s">
        <v>800</v>
      </c>
      <c r="B51" s="1061"/>
      <c r="C51" s="1061"/>
      <c r="D51" s="1061"/>
      <c r="E51" s="1061"/>
      <c r="F51" s="1061"/>
      <c r="G51" s="1061"/>
      <c r="H51" s="518"/>
      <c r="I51" s="518"/>
      <c r="J51" s="518"/>
      <c r="K51" s="518"/>
      <c r="L51" s="518"/>
      <c r="M51" s="518"/>
      <c r="N51" s="518"/>
      <c r="O51" s="518"/>
    </row>
    <row r="52" spans="1:15" ht="12.75" customHeight="1" x14ac:dyDescent="0.2">
      <c r="A52" s="1061" t="s">
        <v>365</v>
      </c>
      <c r="B52" s="1061"/>
      <c r="C52" s="1061"/>
      <c r="D52" s="1061"/>
      <c r="E52" s="1061"/>
      <c r="F52" s="1061"/>
      <c r="G52" s="1061"/>
      <c r="H52" s="518"/>
      <c r="I52" s="518"/>
      <c r="J52" s="518"/>
      <c r="K52" s="518"/>
      <c r="L52" s="518"/>
      <c r="M52" s="518"/>
      <c r="N52" s="518"/>
      <c r="O52" s="518"/>
    </row>
    <row r="53" spans="1:15" ht="17.25" customHeight="1" x14ac:dyDescent="0.2">
      <c r="A53" s="914" t="s">
        <v>364</v>
      </c>
      <c r="B53" s="913"/>
      <c r="C53" s="913"/>
      <c r="D53" s="913"/>
      <c r="E53" s="913"/>
      <c r="F53" s="913"/>
      <c r="G53" s="913"/>
      <c r="H53" s="518"/>
      <c r="I53" s="518"/>
      <c r="J53" s="518"/>
      <c r="K53" s="518"/>
      <c r="L53" s="518"/>
      <c r="M53" s="518"/>
      <c r="N53" s="518"/>
      <c r="O53" s="518"/>
    </row>
    <row r="54" spans="1:15" ht="72.75" customHeight="1" x14ac:dyDescent="0.25">
      <c r="A54" s="1059" t="s">
        <v>801</v>
      </c>
      <c r="B54" s="1060"/>
      <c r="C54" s="1060"/>
      <c r="D54" s="1060"/>
      <c r="E54" s="1060"/>
      <c r="F54" s="1060"/>
      <c r="G54" s="1060"/>
    </row>
    <row r="55" spans="1:15" x14ac:dyDescent="0.2">
      <c r="A55" s="519"/>
      <c r="B55" s="519"/>
      <c r="C55" s="519"/>
      <c r="D55" s="519"/>
      <c r="E55" s="519"/>
      <c r="F55" s="519"/>
      <c r="G55" s="519"/>
    </row>
    <row r="56" spans="1:15" x14ac:dyDescent="0.2">
      <c r="A56" s="519"/>
      <c r="B56" s="519"/>
      <c r="C56" s="519"/>
      <c r="D56" s="519"/>
      <c r="E56" s="519"/>
      <c r="F56" s="519"/>
      <c r="G56" s="519"/>
    </row>
    <row r="57" spans="1:15" x14ac:dyDescent="0.2">
      <c r="A57" s="519"/>
      <c r="B57" s="519"/>
      <c r="C57" s="519"/>
      <c r="D57" s="519"/>
      <c r="E57" s="519"/>
      <c r="F57" s="519"/>
      <c r="G57" s="519"/>
    </row>
    <row r="58" spans="1:15" x14ac:dyDescent="0.2">
      <c r="A58" s="518"/>
      <c r="B58" s="518"/>
      <c r="C58" s="518"/>
      <c r="D58" s="518"/>
      <c r="E58" s="518"/>
      <c r="F58" s="518"/>
      <c r="G58" s="518"/>
    </row>
  </sheetData>
  <mergeCells count="9">
    <mergeCell ref="A54:G54"/>
    <mergeCell ref="A51:G51"/>
    <mergeCell ref="A52:G52"/>
    <mergeCell ref="A50:G50"/>
    <mergeCell ref="I3:M5"/>
    <mergeCell ref="A36:E36"/>
    <mergeCell ref="A37:E37"/>
    <mergeCell ref="A38:E38"/>
    <mergeCell ref="A39:E39"/>
  </mergeCells>
  <dataValidations count="1">
    <dataValidation type="list" allowBlank="1" showInputMessage="1" showErrorMessage="1" error="Please enter either an S or a C." sqref="I12:I22">
      <formula1>$P$12:$P$13</formula1>
    </dataValidation>
  </dataValidations>
  <pageMargins left="0.39" right="0.25" top="0.43" bottom="0.45" header="0.3" footer="0.3"/>
  <pageSetup scale="86" orientation="portrait" r:id="rId1"/>
  <colBreaks count="1" manualBreakCount="1">
    <brk id="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R47"/>
  <sheetViews>
    <sheetView view="pageBreakPreview" zoomScale="85" zoomScaleNormal="100" zoomScaleSheetLayoutView="85" workbookViewId="0">
      <selection activeCell="P31" sqref="P31"/>
    </sheetView>
  </sheetViews>
  <sheetFormatPr defaultColWidth="9.140625" defaultRowHeight="12.75" x14ac:dyDescent="0.2"/>
  <cols>
    <col min="1" max="8" width="9.140625" style="624"/>
    <col min="9" max="9" width="3" style="624" customWidth="1"/>
    <col min="10" max="10" width="9.140625" style="624"/>
    <col min="11" max="11" width="13" style="624" customWidth="1"/>
    <col min="12" max="15" width="9.140625" style="624"/>
    <col min="16" max="16" width="11.140625" style="624" customWidth="1"/>
    <col min="17" max="17" width="11.28515625" style="624" customWidth="1"/>
    <col min="18" max="16384" width="9.140625" style="624"/>
  </cols>
  <sheetData>
    <row r="1" spans="1:18" s="501" customFormat="1" ht="18" x14ac:dyDescent="0.25">
      <c r="A1" s="515" t="s">
        <v>363</v>
      </c>
      <c r="C1" s="512"/>
      <c r="F1" s="624"/>
      <c r="G1" s="624"/>
      <c r="H1" s="624"/>
      <c r="I1" s="624"/>
      <c r="J1" s="624"/>
      <c r="K1" s="624"/>
      <c r="L1" s="624"/>
      <c r="M1" s="624"/>
      <c r="N1" s="624"/>
      <c r="O1" s="624"/>
      <c r="P1" s="624"/>
      <c r="Q1" s="624"/>
    </row>
    <row r="2" spans="1:18" s="501" customFormat="1" x14ac:dyDescent="0.2">
      <c r="A2" s="624"/>
      <c r="B2" s="624"/>
      <c r="C2" s="624"/>
      <c r="D2" s="624"/>
      <c r="E2" s="624"/>
      <c r="F2" s="624"/>
      <c r="G2" s="624"/>
      <c r="H2" s="624"/>
      <c r="I2" s="624"/>
      <c r="J2" s="624"/>
      <c r="K2" s="624"/>
      <c r="L2" s="624"/>
      <c r="M2" s="624"/>
      <c r="N2" s="624"/>
      <c r="O2" s="624"/>
      <c r="P2" s="624"/>
      <c r="Q2" s="624"/>
    </row>
    <row r="3" spans="1:18" ht="15.75" x14ac:dyDescent="0.25">
      <c r="A3" s="644" t="s">
        <v>426</v>
      </c>
      <c r="B3" s="642"/>
      <c r="J3" s="643" t="s">
        <v>425</v>
      </c>
      <c r="K3" s="642"/>
      <c r="L3" s="513"/>
      <c r="M3" s="513"/>
      <c r="N3" s="501"/>
      <c r="O3" s="501"/>
      <c r="P3" s="501"/>
      <c r="Q3" s="501"/>
      <c r="R3" s="501"/>
    </row>
    <row r="4" spans="1:18" x14ac:dyDescent="0.2">
      <c r="F4" s="641" t="s">
        <v>392</v>
      </c>
      <c r="G4" s="641" t="s">
        <v>391</v>
      </c>
      <c r="H4" s="637"/>
      <c r="R4" s="501"/>
    </row>
    <row r="5" spans="1:18" ht="12.75" customHeight="1" x14ac:dyDescent="0.2">
      <c r="A5" s="1078" t="s">
        <v>424</v>
      </c>
      <c r="B5" s="1079"/>
      <c r="C5" s="1079"/>
      <c r="D5" s="1079"/>
      <c r="E5" s="1080"/>
      <c r="F5" s="640">
        <v>177812.73</v>
      </c>
      <c r="G5" s="640">
        <f>F5*0.1+F5</f>
        <v>195594.00300000003</v>
      </c>
      <c r="H5" s="637"/>
      <c r="J5" s="1081" t="s">
        <v>423</v>
      </c>
      <c r="K5" s="1082"/>
      <c r="L5" s="1082"/>
      <c r="M5" s="1082"/>
      <c r="N5" s="1083"/>
      <c r="O5" s="1087" t="s">
        <v>805</v>
      </c>
      <c r="P5" s="1088"/>
      <c r="Q5" s="1089"/>
      <c r="R5" s="501"/>
    </row>
    <row r="6" spans="1:18" x14ac:dyDescent="0.2">
      <c r="A6" s="639"/>
      <c r="B6" s="639"/>
      <c r="C6" s="639"/>
      <c r="D6" s="639"/>
      <c r="E6" s="639"/>
      <c r="F6" s="638"/>
      <c r="G6" s="638"/>
      <c r="H6" s="637"/>
      <c r="J6" s="1084"/>
      <c r="K6" s="1085"/>
      <c r="L6" s="1085"/>
      <c r="M6" s="1085"/>
      <c r="N6" s="1086"/>
      <c r="O6" s="1090"/>
      <c r="P6" s="1091"/>
      <c r="Q6" s="1092"/>
      <c r="R6" s="501"/>
    </row>
    <row r="7" spans="1:18" x14ac:dyDescent="0.2">
      <c r="A7" s="513"/>
      <c r="B7" s="513"/>
      <c r="C7" s="513"/>
      <c r="D7" s="513"/>
      <c r="E7" s="513"/>
      <c r="F7" s="513"/>
      <c r="G7" s="501"/>
      <c r="H7" s="501"/>
      <c r="J7" s="501"/>
      <c r="K7" s="501"/>
      <c r="L7" s="501"/>
      <c r="M7" s="501"/>
      <c r="N7" s="501"/>
      <c r="O7" s="501"/>
      <c r="P7" s="501"/>
      <c r="Q7" s="501"/>
      <c r="R7" s="501"/>
    </row>
    <row r="8" spans="1:18" x14ac:dyDescent="0.2">
      <c r="J8" s="509" t="s">
        <v>422</v>
      </c>
      <c r="K8" s="509"/>
      <c r="L8" s="503"/>
      <c r="M8" s="503"/>
      <c r="N8" s="501"/>
      <c r="O8" s="501"/>
      <c r="P8" s="501"/>
      <c r="Q8" s="501"/>
      <c r="R8" s="501"/>
    </row>
    <row r="9" spans="1:18" ht="15" x14ac:dyDescent="0.25">
      <c r="A9" s="636" t="s">
        <v>421</v>
      </c>
      <c r="J9" s="635" t="s">
        <v>101</v>
      </c>
      <c r="K9" s="1093" t="s">
        <v>100</v>
      </c>
      <c r="L9" s="1093"/>
      <c r="M9" s="634" t="s">
        <v>420</v>
      </c>
      <c r="N9" s="1094" t="s">
        <v>419</v>
      </c>
      <c r="O9" s="1095"/>
      <c r="P9" s="631" t="s">
        <v>418</v>
      </c>
      <c r="Q9" s="630" t="s">
        <v>391</v>
      </c>
      <c r="R9" s="501"/>
    </row>
    <row r="10" spans="1:18" ht="12.75" customHeight="1" x14ac:dyDescent="0.2">
      <c r="A10" s="1076" t="s">
        <v>417</v>
      </c>
      <c r="B10" s="1076"/>
      <c r="C10" s="1076"/>
      <c r="D10" s="1076"/>
      <c r="E10" s="1076"/>
      <c r="F10" s="1076"/>
      <c r="G10" s="1076"/>
      <c r="H10" s="1076"/>
      <c r="J10" s="633">
        <v>1840</v>
      </c>
      <c r="K10" s="1077" t="s">
        <v>797</v>
      </c>
      <c r="L10" s="1077"/>
      <c r="M10" s="632">
        <v>0.1</v>
      </c>
      <c r="N10" s="910">
        <v>2303</v>
      </c>
      <c r="O10" s="912">
        <v>2800</v>
      </c>
      <c r="P10" s="631">
        <f>M10*N10*26.1</f>
        <v>6010.8300000000008</v>
      </c>
      <c r="Q10" s="630">
        <f>M10*O10*26.1</f>
        <v>7308</v>
      </c>
      <c r="R10" s="501"/>
    </row>
    <row r="11" spans="1:18" x14ac:dyDescent="0.2">
      <c r="A11" s="1076"/>
      <c r="B11" s="1076"/>
      <c r="C11" s="1076"/>
      <c r="D11" s="1076"/>
      <c r="E11" s="1076"/>
      <c r="F11" s="1076"/>
      <c r="G11" s="1076"/>
      <c r="H11" s="1076"/>
      <c r="J11" s="509" t="s">
        <v>416</v>
      </c>
      <c r="K11" s="509"/>
      <c r="L11" s="503"/>
      <c r="M11" s="629"/>
      <c r="N11" s="501"/>
      <c r="O11" s="501"/>
      <c r="P11" s="501"/>
      <c r="Q11" s="501"/>
      <c r="R11" s="501"/>
    </row>
    <row r="12" spans="1:18" x14ac:dyDescent="0.2">
      <c r="A12" s="1071" t="s">
        <v>806</v>
      </c>
      <c r="B12" s="1071"/>
      <c r="C12" s="1071"/>
      <c r="D12" s="1071"/>
      <c r="E12" s="1071"/>
      <c r="F12" s="1071"/>
      <c r="G12" s="1071"/>
      <c r="H12" s="1071"/>
      <c r="J12" s="1073" t="s">
        <v>389</v>
      </c>
      <c r="K12" s="1075" t="s">
        <v>385</v>
      </c>
      <c r="L12" s="1068" t="s">
        <v>388</v>
      </c>
      <c r="M12" s="1068" t="s">
        <v>387</v>
      </c>
      <c r="N12" s="1068" t="s">
        <v>386</v>
      </c>
      <c r="O12" s="1068" t="s">
        <v>415</v>
      </c>
      <c r="P12" s="1068" t="s">
        <v>414</v>
      </c>
      <c r="Q12" s="1068" t="s">
        <v>413</v>
      </c>
      <c r="R12" s="501"/>
    </row>
    <row r="13" spans="1:18" x14ac:dyDescent="0.2">
      <c r="A13" s="1071"/>
      <c r="B13" s="1071"/>
      <c r="C13" s="1071"/>
      <c r="D13" s="1071"/>
      <c r="E13" s="1071"/>
      <c r="F13" s="1071"/>
      <c r="G13" s="1071"/>
      <c r="H13" s="1071"/>
      <c r="J13" s="1074"/>
      <c r="K13" s="1075"/>
      <c r="L13" s="1068"/>
      <c r="M13" s="1068"/>
      <c r="N13" s="1068"/>
      <c r="O13" s="1068"/>
      <c r="P13" s="1068"/>
      <c r="Q13" s="1068"/>
      <c r="R13" s="501"/>
    </row>
    <row r="14" spans="1:18" x14ac:dyDescent="0.2">
      <c r="A14" s="1072"/>
      <c r="B14" s="1072"/>
      <c r="C14" s="1072"/>
      <c r="D14" s="1072"/>
      <c r="E14" s="1072"/>
      <c r="F14" s="1072"/>
      <c r="G14" s="1072"/>
      <c r="H14" s="1072"/>
      <c r="J14" s="628"/>
      <c r="K14" s="626"/>
      <c r="L14" s="627"/>
      <c r="M14" s="626">
        <f>P10*L14</f>
        <v>0</v>
      </c>
      <c r="N14" s="626">
        <f>Q10*L14</f>
        <v>0</v>
      </c>
      <c r="O14" s="626">
        <f>K14*M10</f>
        <v>0</v>
      </c>
      <c r="P14" s="626">
        <f>M14+O14</f>
        <v>0</v>
      </c>
      <c r="Q14" s="626">
        <f>N14+O14</f>
        <v>0</v>
      </c>
      <c r="R14" s="501"/>
    </row>
    <row r="15" spans="1:18" x14ac:dyDescent="0.2">
      <c r="A15" s="1072"/>
      <c r="B15" s="1072"/>
      <c r="C15" s="1072"/>
      <c r="D15" s="1072"/>
      <c r="E15" s="1072"/>
      <c r="F15" s="1072"/>
      <c r="G15" s="1072"/>
      <c r="H15" s="1072"/>
    </row>
    <row r="16" spans="1:18" ht="15.75" customHeight="1" x14ac:dyDescent="0.2">
      <c r="A16" s="1072"/>
      <c r="B16" s="1072"/>
      <c r="C16" s="1072"/>
      <c r="D16" s="1072"/>
      <c r="E16" s="1072"/>
      <c r="F16" s="1072"/>
      <c r="G16" s="1072"/>
      <c r="H16" s="1072"/>
    </row>
    <row r="17" spans="1:8" x14ac:dyDescent="0.2">
      <c r="A17" s="1072"/>
      <c r="B17" s="1072"/>
      <c r="C17" s="1072"/>
      <c r="D17" s="1072"/>
      <c r="E17" s="1072"/>
      <c r="F17" s="1072"/>
      <c r="G17" s="1072"/>
      <c r="H17" s="1072"/>
    </row>
    <row r="18" spans="1:8" x14ac:dyDescent="0.2">
      <c r="A18" s="1072"/>
      <c r="B18" s="1072"/>
      <c r="C18" s="1072"/>
      <c r="D18" s="1072"/>
      <c r="E18" s="1072"/>
      <c r="F18" s="1072"/>
      <c r="G18" s="1072"/>
      <c r="H18" s="1072"/>
    </row>
    <row r="19" spans="1:8" ht="15.75" customHeight="1" x14ac:dyDescent="0.2">
      <c r="A19" s="1072"/>
      <c r="B19" s="1072"/>
      <c r="C19" s="1072"/>
      <c r="D19" s="1072"/>
      <c r="E19" s="1072"/>
      <c r="F19" s="1072"/>
      <c r="G19" s="1072"/>
      <c r="H19" s="1072"/>
    </row>
    <row r="20" spans="1:8" x14ac:dyDescent="0.2">
      <c r="A20" s="1072"/>
      <c r="B20" s="1072"/>
      <c r="C20" s="1072"/>
      <c r="D20" s="1072"/>
      <c r="E20" s="1072"/>
      <c r="F20" s="1072"/>
      <c r="G20" s="1072"/>
      <c r="H20" s="1072"/>
    </row>
    <row r="21" spans="1:8" x14ac:dyDescent="0.2">
      <c r="A21" s="1072"/>
      <c r="B21" s="1072"/>
      <c r="C21" s="1072"/>
      <c r="D21" s="1072"/>
      <c r="E21" s="1072"/>
      <c r="F21" s="1072"/>
      <c r="G21" s="1072"/>
      <c r="H21" s="1072"/>
    </row>
    <row r="22" spans="1:8" x14ac:dyDescent="0.2">
      <c r="A22" s="1072"/>
      <c r="B22" s="1072"/>
      <c r="C22" s="1072"/>
      <c r="D22" s="1072"/>
      <c r="E22" s="1072"/>
      <c r="F22" s="1072"/>
      <c r="G22" s="1072"/>
      <c r="H22" s="1072"/>
    </row>
    <row r="23" spans="1:8" ht="30" customHeight="1" x14ac:dyDescent="0.2">
      <c r="A23" s="1072"/>
      <c r="B23" s="1072"/>
      <c r="C23" s="1072"/>
      <c r="D23" s="1072"/>
      <c r="E23" s="1072"/>
      <c r="F23" s="1072"/>
      <c r="G23" s="1072"/>
      <c r="H23" s="1072"/>
    </row>
    <row r="24" spans="1:8" x14ac:dyDescent="0.2">
      <c r="A24" s="1072"/>
      <c r="B24" s="1072"/>
      <c r="C24" s="1072"/>
      <c r="D24" s="1072"/>
      <c r="E24" s="1072"/>
      <c r="F24" s="1072"/>
      <c r="G24" s="1072"/>
      <c r="H24" s="1072"/>
    </row>
    <row r="25" spans="1:8" ht="12.75" customHeight="1" x14ac:dyDescent="0.2">
      <c r="A25" s="1072"/>
      <c r="B25" s="1072"/>
      <c r="C25" s="1072"/>
      <c r="D25" s="1072"/>
      <c r="E25" s="1072"/>
      <c r="F25" s="1072"/>
      <c r="G25" s="1072"/>
      <c r="H25" s="1072"/>
    </row>
    <row r="26" spans="1:8" x14ac:dyDescent="0.2">
      <c r="A26" s="1072"/>
      <c r="B26" s="1072"/>
      <c r="C26" s="1072"/>
      <c r="D26" s="1072"/>
      <c r="E26" s="1072"/>
      <c r="F26" s="1072"/>
      <c r="G26" s="1072"/>
      <c r="H26" s="1072"/>
    </row>
    <row r="27" spans="1:8" x14ac:dyDescent="0.2">
      <c r="A27" s="1072"/>
      <c r="B27" s="1072"/>
      <c r="C27" s="1072"/>
      <c r="D27" s="1072"/>
      <c r="E27" s="1072"/>
      <c r="F27" s="1072"/>
      <c r="G27" s="1072"/>
      <c r="H27" s="1072"/>
    </row>
    <row r="28" spans="1:8" ht="25.5" customHeight="1" x14ac:dyDescent="0.2">
      <c r="A28" s="1072"/>
      <c r="B28" s="1072"/>
      <c r="C28" s="1072"/>
      <c r="D28" s="1072"/>
      <c r="E28" s="1072"/>
      <c r="F28" s="1072"/>
      <c r="G28" s="1072"/>
      <c r="H28" s="1072"/>
    </row>
    <row r="31" spans="1:8" x14ac:dyDescent="0.2">
      <c r="A31" s="625"/>
      <c r="B31" s="625"/>
      <c r="C31" s="625"/>
      <c r="D31" s="625"/>
      <c r="E31" s="625"/>
      <c r="F31" s="625"/>
      <c r="G31" s="625"/>
      <c r="H31" s="625"/>
    </row>
    <row r="32" spans="1:8" x14ac:dyDescent="0.2">
      <c r="A32" s="1069" t="s">
        <v>412</v>
      </c>
      <c r="B32" s="1069"/>
      <c r="C32" s="1069"/>
      <c r="D32" s="1069"/>
      <c r="E32" s="1069"/>
      <c r="F32" s="1069"/>
      <c r="G32" s="1069"/>
      <c r="H32" s="1069"/>
    </row>
    <row r="33" spans="1:8" ht="28.5" customHeight="1" x14ac:dyDescent="0.2">
      <c r="A33" s="1070" t="s">
        <v>411</v>
      </c>
      <c r="B33" s="1070"/>
      <c r="C33" s="1070"/>
      <c r="D33" s="1070"/>
      <c r="E33" s="1070"/>
      <c r="F33" s="1070"/>
      <c r="G33" s="1070"/>
      <c r="H33" s="1070"/>
    </row>
    <row r="34" spans="1:8" x14ac:dyDescent="0.2">
      <c r="A34" s="1067" t="s">
        <v>410</v>
      </c>
      <c r="B34" s="1067"/>
      <c r="C34" s="1067"/>
      <c r="D34" s="1067"/>
      <c r="E34" s="1067"/>
      <c r="F34" s="1067"/>
      <c r="G34" s="1067"/>
      <c r="H34" s="1067"/>
    </row>
    <row r="35" spans="1:8" x14ac:dyDescent="0.2">
      <c r="A35" s="1067" t="s">
        <v>409</v>
      </c>
      <c r="B35" s="1067"/>
      <c r="C35" s="1067"/>
      <c r="D35" s="1067"/>
      <c r="E35" s="1067"/>
      <c r="F35" s="1067"/>
      <c r="G35" s="1067"/>
      <c r="H35" s="1067"/>
    </row>
    <row r="36" spans="1:8" x14ac:dyDescent="0.2">
      <c r="A36" s="1067" t="s">
        <v>408</v>
      </c>
      <c r="B36" s="1067"/>
      <c r="C36" s="1067"/>
      <c r="D36" s="1067"/>
      <c r="E36" s="1067"/>
      <c r="F36" s="1067"/>
      <c r="G36" s="1067"/>
      <c r="H36" s="1067"/>
    </row>
    <row r="37" spans="1:8" x14ac:dyDescent="0.2">
      <c r="A37" s="1067" t="s">
        <v>407</v>
      </c>
      <c r="B37" s="1067"/>
      <c r="C37" s="1067"/>
      <c r="D37" s="1067"/>
      <c r="E37" s="1067"/>
      <c r="F37" s="1067"/>
      <c r="G37" s="1067"/>
      <c r="H37" s="1067"/>
    </row>
    <row r="38" spans="1:8" x14ac:dyDescent="0.2">
      <c r="A38" s="625"/>
      <c r="B38" s="625"/>
      <c r="C38" s="625"/>
      <c r="D38" s="625"/>
      <c r="E38" s="625"/>
      <c r="F38" s="625"/>
      <c r="G38" s="625"/>
      <c r="H38" s="625"/>
    </row>
    <row r="39" spans="1:8" x14ac:dyDescent="0.2">
      <c r="A39" s="1065" t="s">
        <v>406</v>
      </c>
      <c r="B39" s="1065"/>
      <c r="C39" s="1065"/>
      <c r="D39" s="1065"/>
      <c r="E39" s="1065"/>
      <c r="F39" s="1065"/>
      <c r="G39" s="1065"/>
      <c r="H39" s="1065"/>
    </row>
    <row r="40" spans="1:8" x14ac:dyDescent="0.2">
      <c r="A40" s="1067"/>
      <c r="B40" s="1067"/>
      <c r="C40" s="1067"/>
      <c r="D40" s="1067"/>
      <c r="E40" s="1067"/>
      <c r="F40" s="1067"/>
      <c r="G40" s="1067"/>
      <c r="H40" s="1067"/>
    </row>
    <row r="41" spans="1:8" x14ac:dyDescent="0.2">
      <c r="A41" s="1067"/>
      <c r="B41" s="1067"/>
      <c r="C41" s="1067"/>
      <c r="D41" s="1067"/>
      <c r="E41" s="1067"/>
      <c r="F41" s="1067"/>
      <c r="G41" s="1067"/>
      <c r="H41" s="1067"/>
    </row>
    <row r="42" spans="1:8" x14ac:dyDescent="0.2">
      <c r="A42" s="1065" t="s">
        <v>405</v>
      </c>
      <c r="B42" s="1065"/>
      <c r="C42" s="1065"/>
      <c r="D42" s="1065"/>
      <c r="E42" s="1065"/>
      <c r="F42" s="1065"/>
      <c r="G42" s="1065"/>
      <c r="H42" s="1065"/>
    </row>
    <row r="43" spans="1:8" x14ac:dyDescent="0.2">
      <c r="A43" s="1067"/>
      <c r="B43" s="1067"/>
      <c r="C43" s="1067"/>
      <c r="D43" s="1067"/>
      <c r="E43" s="1067"/>
      <c r="F43" s="1067"/>
      <c r="G43" s="1067"/>
      <c r="H43" s="1067"/>
    </row>
    <row r="44" spans="1:8" x14ac:dyDescent="0.2">
      <c r="A44" s="1067"/>
      <c r="B44" s="1067"/>
      <c r="C44" s="1067"/>
      <c r="D44" s="1067"/>
      <c r="E44" s="1067"/>
      <c r="F44" s="1067"/>
      <c r="G44" s="1067"/>
      <c r="H44" s="1067"/>
    </row>
    <row r="45" spans="1:8" ht="26.25" customHeight="1" x14ac:dyDescent="0.2">
      <c r="A45" s="1065" t="s">
        <v>404</v>
      </c>
      <c r="B45" s="1065"/>
      <c r="C45" s="1065"/>
      <c r="D45" s="1065"/>
      <c r="E45" s="1065"/>
      <c r="F45" s="1065"/>
      <c r="G45" s="1065"/>
      <c r="H45" s="1065"/>
    </row>
    <row r="46" spans="1:8" x14ac:dyDescent="0.2">
      <c r="A46" s="1066"/>
      <c r="B46" s="1066"/>
      <c r="C46" s="1066"/>
      <c r="D46" s="1066"/>
      <c r="E46" s="1066"/>
      <c r="F46" s="1066"/>
      <c r="G46" s="1066"/>
      <c r="H46" s="1066"/>
    </row>
    <row r="47" spans="1:8" x14ac:dyDescent="0.2">
      <c r="A47" s="1066"/>
      <c r="B47" s="1066"/>
      <c r="C47" s="1066"/>
      <c r="D47" s="1066"/>
      <c r="E47" s="1066"/>
      <c r="F47" s="1066"/>
      <c r="G47" s="1066"/>
      <c r="H47" s="1066"/>
    </row>
  </sheetData>
  <mergeCells count="28">
    <mergeCell ref="A10:H11"/>
    <mergeCell ref="K10:L10"/>
    <mergeCell ref="A5:E5"/>
    <mergeCell ref="J5:N6"/>
    <mergeCell ref="O5:Q6"/>
    <mergeCell ref="K9:L9"/>
    <mergeCell ref="N9:O9"/>
    <mergeCell ref="A35:H35"/>
    <mergeCell ref="J12:J13"/>
    <mergeCell ref="K12:K13"/>
    <mergeCell ref="L12:L13"/>
    <mergeCell ref="M12:M13"/>
    <mergeCell ref="Q12:Q13"/>
    <mergeCell ref="A32:H32"/>
    <mergeCell ref="A33:H33"/>
    <mergeCell ref="A34:H34"/>
    <mergeCell ref="N12:N13"/>
    <mergeCell ref="O12:O13"/>
    <mergeCell ref="P12:P13"/>
    <mergeCell ref="A12:H28"/>
    <mergeCell ref="A45:H45"/>
    <mergeCell ref="A46:H47"/>
    <mergeCell ref="A36:H36"/>
    <mergeCell ref="A37:H37"/>
    <mergeCell ref="A39:H39"/>
    <mergeCell ref="A40:H41"/>
    <mergeCell ref="A42:H42"/>
    <mergeCell ref="A43:H44"/>
  </mergeCells>
  <pageMargins left="0.7" right="0.7" top="0.43" bottom="0.39" header="0.3" footer="0.18"/>
  <pageSetup scale="7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sheetPr>
  <dimension ref="B2:R25"/>
  <sheetViews>
    <sheetView view="pageBreakPreview" zoomScaleNormal="80" zoomScaleSheetLayoutView="100" workbookViewId="0">
      <selection activeCell="R8" sqref="R8"/>
    </sheetView>
  </sheetViews>
  <sheetFormatPr defaultColWidth="9.140625" defaultRowHeight="14.25" x14ac:dyDescent="0.2"/>
  <cols>
    <col min="1" max="1" width="5" style="3" customWidth="1"/>
    <col min="2" max="2" width="5.28515625" style="3" customWidth="1"/>
    <col min="3" max="4" width="9.42578125" style="3" customWidth="1"/>
    <col min="5" max="5" width="10.28515625" style="3" customWidth="1"/>
    <col min="6" max="8" width="6.28515625" style="3" customWidth="1"/>
    <col min="9" max="9" width="11.7109375" style="3" customWidth="1"/>
    <col min="10" max="17" width="11" style="3" customWidth="1"/>
    <col min="18" max="18" width="24.28515625" style="3" customWidth="1"/>
    <col min="19" max="16384" width="9.140625" style="3"/>
  </cols>
  <sheetData>
    <row r="2" spans="2:18" s="74" customFormat="1" ht="23.25" customHeight="1" x14ac:dyDescent="0.25">
      <c r="B2" s="79" t="s">
        <v>34</v>
      </c>
    </row>
    <row r="3" spans="2:18" s="74" customFormat="1" ht="18" x14ac:dyDescent="0.25">
      <c r="B3" s="78" t="s">
        <v>1</v>
      </c>
      <c r="C3" s="77"/>
      <c r="D3" s="75"/>
    </row>
    <row r="4" spans="2:18" s="74" customFormat="1" ht="15" x14ac:dyDescent="0.25">
      <c r="B4" s="926"/>
      <c r="C4" s="926"/>
      <c r="D4" s="75"/>
    </row>
    <row r="5" spans="2:18" s="74" customFormat="1" ht="15" x14ac:dyDescent="0.25">
      <c r="B5" s="76" t="s">
        <v>65</v>
      </c>
      <c r="C5" s="76"/>
      <c r="D5" s="75"/>
    </row>
    <row r="6" spans="2:18" ht="15" x14ac:dyDescent="0.25">
      <c r="B6" s="76"/>
      <c r="C6" s="76"/>
      <c r="D6" s="75"/>
      <c r="E6" s="74"/>
      <c r="F6" s="74"/>
      <c r="G6" s="74"/>
      <c r="H6" s="74"/>
      <c r="I6" s="74"/>
      <c r="J6" s="74"/>
      <c r="K6" s="74"/>
      <c r="L6" s="74"/>
      <c r="M6" s="74"/>
      <c r="N6" s="74"/>
      <c r="O6" s="74"/>
      <c r="P6" s="74"/>
      <c r="Q6" s="74"/>
      <c r="R6" s="74"/>
    </row>
    <row r="7" spans="2:18" ht="15" x14ac:dyDescent="0.25">
      <c r="B7" s="73" t="s">
        <v>33</v>
      </c>
      <c r="D7" s="72"/>
      <c r="E7" s="72"/>
    </row>
    <row r="8" spans="2:18" x14ac:dyDescent="0.2">
      <c r="B8" s="71" t="s">
        <v>74</v>
      </c>
      <c r="D8" s="72"/>
      <c r="E8" s="72"/>
    </row>
    <row r="9" spans="2:18" x14ac:dyDescent="0.2">
      <c r="B9" s="71" t="s">
        <v>32</v>
      </c>
      <c r="D9" s="72"/>
      <c r="E9" s="72"/>
    </row>
    <row r="10" spans="2:18" x14ac:dyDescent="0.2">
      <c r="B10" s="71" t="s">
        <v>31</v>
      </c>
      <c r="C10" s="70"/>
      <c r="D10" s="70"/>
      <c r="J10" s="70"/>
    </row>
    <row r="11" spans="2:18" s="44" customFormat="1" ht="15" thickBot="1" x14ac:dyDescent="0.25">
      <c r="B11" s="3"/>
      <c r="C11" s="3"/>
      <c r="D11" s="3"/>
      <c r="E11" s="3"/>
      <c r="F11" s="3"/>
      <c r="G11" s="3"/>
      <c r="H11" s="3"/>
      <c r="I11" s="3"/>
      <c r="J11" s="3"/>
      <c r="K11" s="3"/>
      <c r="L11" s="3"/>
      <c r="M11" s="3"/>
      <c r="N11" s="3"/>
      <c r="O11" s="3"/>
      <c r="P11" s="3"/>
      <c r="Q11" s="3"/>
      <c r="R11" s="3"/>
    </row>
    <row r="12" spans="2:18" s="63" customFormat="1" ht="15" x14ac:dyDescent="0.25">
      <c r="B12" s="69" t="s">
        <v>30</v>
      </c>
      <c r="C12" s="68"/>
      <c r="D12" s="67"/>
      <c r="E12" s="67"/>
      <c r="F12" s="67"/>
      <c r="G12" s="67"/>
      <c r="H12" s="67"/>
      <c r="I12" s="67"/>
      <c r="J12" s="65" t="s">
        <v>28</v>
      </c>
      <c r="K12" s="67"/>
      <c r="L12" s="65" t="s">
        <v>28</v>
      </c>
      <c r="M12" s="66" t="s">
        <v>29</v>
      </c>
      <c r="N12" s="67"/>
      <c r="O12" s="66" t="s">
        <v>29</v>
      </c>
      <c r="P12" s="65"/>
      <c r="Q12" s="65"/>
      <c r="R12" s="64" t="s">
        <v>28</v>
      </c>
    </row>
    <row r="13" spans="2:18" s="44" customFormat="1" ht="75.75" thickBot="1" x14ac:dyDescent="0.3">
      <c r="B13" s="62" t="s">
        <v>27</v>
      </c>
      <c r="C13" s="61" t="s">
        <v>26</v>
      </c>
      <c r="D13" s="61" t="s">
        <v>25</v>
      </c>
      <c r="E13" s="61" t="s">
        <v>5</v>
      </c>
      <c r="F13" s="61" t="s">
        <v>24</v>
      </c>
      <c r="G13" s="61" t="s">
        <v>23</v>
      </c>
      <c r="H13" s="61" t="s">
        <v>22</v>
      </c>
      <c r="I13" s="61" t="s">
        <v>21</v>
      </c>
      <c r="J13" s="61" t="s">
        <v>66</v>
      </c>
      <c r="K13" s="61" t="s">
        <v>67</v>
      </c>
      <c r="L13" s="61" t="s">
        <v>68</v>
      </c>
      <c r="M13" s="61" t="s">
        <v>69</v>
      </c>
      <c r="N13" s="61" t="s">
        <v>70</v>
      </c>
      <c r="O13" s="60" t="s">
        <v>71</v>
      </c>
      <c r="P13" s="61" t="s">
        <v>72</v>
      </c>
      <c r="Q13" s="60" t="s">
        <v>73</v>
      </c>
      <c r="R13" s="59" t="s">
        <v>20</v>
      </c>
    </row>
    <row r="14" spans="2:18" s="44" customFormat="1" ht="30" customHeight="1" x14ac:dyDescent="0.2">
      <c r="B14" s="58"/>
      <c r="C14" s="57"/>
      <c r="D14" s="57"/>
      <c r="E14" s="57"/>
      <c r="F14" s="57"/>
      <c r="G14" s="57"/>
      <c r="H14" s="57"/>
      <c r="I14" s="57"/>
      <c r="J14" s="57"/>
      <c r="K14" s="56"/>
      <c r="L14" s="56"/>
      <c r="M14" s="56"/>
      <c r="N14" s="56"/>
      <c r="O14" s="55"/>
      <c r="P14" s="54"/>
      <c r="Q14" s="53"/>
      <c r="R14" s="52"/>
    </row>
    <row r="15" spans="2:18" s="44" customFormat="1" ht="30" customHeight="1" x14ac:dyDescent="0.2">
      <c r="B15" s="51"/>
      <c r="C15" s="50"/>
      <c r="D15" s="50"/>
      <c r="E15" s="50"/>
      <c r="F15" s="50"/>
      <c r="G15" s="50"/>
      <c r="H15" s="50"/>
      <c r="I15" s="50"/>
      <c r="J15" s="50"/>
      <c r="K15" s="49"/>
      <c r="L15" s="49"/>
      <c r="M15" s="49"/>
      <c r="N15" s="49"/>
      <c r="O15" s="48"/>
      <c r="P15" s="47"/>
      <c r="Q15" s="46"/>
      <c r="R15" s="45"/>
    </row>
    <row r="16" spans="2:18" s="44" customFormat="1" ht="30" customHeight="1" x14ac:dyDescent="0.2">
      <c r="B16" s="51"/>
      <c r="C16" s="50"/>
      <c r="D16" s="50"/>
      <c r="E16" s="50"/>
      <c r="F16" s="50"/>
      <c r="G16" s="50"/>
      <c r="H16" s="50"/>
      <c r="I16" s="50"/>
      <c r="J16" s="50"/>
      <c r="K16" s="49"/>
      <c r="L16" s="49"/>
      <c r="M16" s="49"/>
      <c r="N16" s="49"/>
      <c r="O16" s="48"/>
      <c r="P16" s="47"/>
      <c r="Q16" s="46"/>
      <c r="R16" s="45"/>
    </row>
    <row r="17" spans="2:18" s="44" customFormat="1" ht="30" customHeight="1" x14ac:dyDescent="0.2">
      <c r="B17" s="51"/>
      <c r="C17" s="50"/>
      <c r="D17" s="50"/>
      <c r="E17" s="50"/>
      <c r="F17" s="50"/>
      <c r="G17" s="50"/>
      <c r="H17" s="50"/>
      <c r="I17" s="50"/>
      <c r="J17" s="50"/>
      <c r="K17" s="49"/>
      <c r="L17" s="49"/>
      <c r="M17" s="49"/>
      <c r="N17" s="49"/>
      <c r="O17" s="48"/>
      <c r="P17" s="47"/>
      <c r="Q17" s="46"/>
      <c r="R17" s="45"/>
    </row>
    <row r="18" spans="2:18" s="44" customFormat="1" ht="30" customHeight="1" x14ac:dyDescent="0.2">
      <c r="B18" s="51"/>
      <c r="C18" s="50"/>
      <c r="D18" s="50"/>
      <c r="E18" s="50"/>
      <c r="F18" s="50"/>
      <c r="G18" s="50"/>
      <c r="H18" s="50"/>
      <c r="I18" s="50"/>
      <c r="J18" s="50"/>
      <c r="K18" s="49"/>
      <c r="L18" s="49"/>
      <c r="M18" s="49"/>
      <c r="N18" s="49"/>
      <c r="O18" s="48"/>
      <c r="P18" s="47"/>
      <c r="Q18" s="46"/>
      <c r="R18" s="45"/>
    </row>
    <row r="19" spans="2:18" s="44" customFormat="1" ht="30" customHeight="1" x14ac:dyDescent="0.2">
      <c r="B19" s="51"/>
      <c r="C19" s="50"/>
      <c r="D19" s="50"/>
      <c r="E19" s="50"/>
      <c r="F19" s="50"/>
      <c r="G19" s="50"/>
      <c r="H19" s="50"/>
      <c r="I19" s="50"/>
      <c r="J19" s="50"/>
      <c r="K19" s="49"/>
      <c r="L19" s="49"/>
      <c r="M19" s="49"/>
      <c r="N19" s="49"/>
      <c r="O19" s="48"/>
      <c r="P19" s="47"/>
      <c r="Q19" s="46"/>
      <c r="R19" s="45"/>
    </row>
    <row r="20" spans="2:18" s="44" customFormat="1" ht="30" customHeight="1" x14ac:dyDescent="0.2">
      <c r="B20" s="51"/>
      <c r="C20" s="50"/>
      <c r="D20" s="50"/>
      <c r="E20" s="50"/>
      <c r="F20" s="50"/>
      <c r="G20" s="50"/>
      <c r="H20" s="50"/>
      <c r="I20" s="50"/>
      <c r="J20" s="50"/>
      <c r="K20" s="49"/>
      <c r="L20" s="49"/>
      <c r="M20" s="49"/>
      <c r="N20" s="49"/>
      <c r="O20" s="48"/>
      <c r="P20" s="47"/>
      <c r="Q20" s="46"/>
      <c r="R20" s="45"/>
    </row>
    <row r="21" spans="2:18" s="44" customFormat="1" ht="30" customHeight="1" x14ac:dyDescent="0.2">
      <c r="B21" s="51"/>
      <c r="C21" s="50"/>
      <c r="D21" s="50"/>
      <c r="E21" s="50"/>
      <c r="F21" s="50"/>
      <c r="G21" s="50"/>
      <c r="H21" s="50"/>
      <c r="I21" s="50"/>
      <c r="J21" s="50"/>
      <c r="K21" s="49"/>
      <c r="L21" s="49"/>
      <c r="M21" s="49"/>
      <c r="N21" s="49"/>
      <c r="O21" s="48"/>
      <c r="P21" s="47"/>
      <c r="Q21" s="46"/>
      <c r="R21" s="45"/>
    </row>
    <row r="22" spans="2:18" s="44" customFormat="1" ht="30" customHeight="1" x14ac:dyDescent="0.2">
      <c r="B22" s="51"/>
      <c r="C22" s="50"/>
      <c r="D22" s="50"/>
      <c r="E22" s="50"/>
      <c r="F22" s="50"/>
      <c r="G22" s="50"/>
      <c r="H22" s="50"/>
      <c r="I22" s="50"/>
      <c r="J22" s="50"/>
      <c r="K22" s="49"/>
      <c r="L22" s="49"/>
      <c r="M22" s="49"/>
      <c r="N22" s="49"/>
      <c r="O22" s="48"/>
      <c r="P22" s="47"/>
      <c r="Q22" s="46"/>
      <c r="R22" s="45"/>
    </row>
    <row r="23" spans="2:18" s="44" customFormat="1" ht="30" customHeight="1" x14ac:dyDescent="0.2">
      <c r="B23" s="51"/>
      <c r="C23" s="50"/>
      <c r="D23" s="50"/>
      <c r="E23" s="50"/>
      <c r="F23" s="50"/>
      <c r="G23" s="50"/>
      <c r="H23" s="50"/>
      <c r="I23" s="50"/>
      <c r="J23" s="50"/>
      <c r="K23" s="49"/>
      <c r="L23" s="49"/>
      <c r="M23" s="49"/>
      <c r="N23" s="49"/>
      <c r="O23" s="48"/>
      <c r="P23" s="47"/>
      <c r="Q23" s="46"/>
      <c r="R23" s="45"/>
    </row>
    <row r="24" spans="2:18" s="44" customFormat="1" ht="30" customHeight="1" x14ac:dyDescent="0.2">
      <c r="B24" s="51"/>
      <c r="C24" s="50"/>
      <c r="D24" s="50"/>
      <c r="E24" s="50"/>
      <c r="F24" s="50"/>
      <c r="G24" s="50"/>
      <c r="H24" s="50"/>
      <c r="I24" s="50"/>
      <c r="J24" s="50"/>
      <c r="K24" s="49"/>
      <c r="L24" s="49"/>
      <c r="M24" s="49"/>
      <c r="N24" s="49"/>
      <c r="O24" s="48"/>
      <c r="P24" s="47"/>
      <c r="Q24" s="46"/>
      <c r="R24" s="45"/>
    </row>
    <row r="25" spans="2:18" ht="30" customHeight="1" thickBot="1" x14ac:dyDescent="0.25">
      <c r="B25" s="43"/>
      <c r="C25" s="42"/>
      <c r="D25" s="42"/>
      <c r="E25" s="42"/>
      <c r="F25" s="42"/>
      <c r="G25" s="42"/>
      <c r="H25" s="42"/>
      <c r="I25" s="42"/>
      <c r="J25" s="42"/>
      <c r="K25" s="41"/>
      <c r="L25" s="41"/>
      <c r="M25" s="41"/>
      <c r="N25" s="41"/>
      <c r="O25" s="40"/>
      <c r="P25" s="39"/>
      <c r="Q25" s="38"/>
      <c r="R25" s="37"/>
    </row>
  </sheetData>
  <mergeCells count="1">
    <mergeCell ref="B4:C4"/>
  </mergeCells>
  <printOptions horizontalCentered="1"/>
  <pageMargins left="0.16" right="0.16" top="0.34" bottom="0.4" header="0.18" footer="0.23"/>
  <pageSetup scale="73"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B2:Q54"/>
  <sheetViews>
    <sheetView view="pageBreakPreview" zoomScale="110" zoomScaleNormal="100" zoomScaleSheetLayoutView="110" workbookViewId="0">
      <pane xSplit="8" ySplit="10" topLeftCell="I11" activePane="bottomRight" state="frozen"/>
      <selection activeCell="G24" sqref="G24"/>
      <selection pane="topRight" activeCell="G24" sqref="G24"/>
      <selection pane="bottomLeft" activeCell="G24" sqref="G24"/>
      <selection pane="bottomRight" activeCell="P37" sqref="P37"/>
    </sheetView>
  </sheetViews>
  <sheetFormatPr defaultColWidth="7.42578125" defaultRowHeight="12.75" x14ac:dyDescent="0.2"/>
  <cols>
    <col min="1" max="1" width="7.42578125" style="501"/>
    <col min="2" max="2" width="37" style="501" customWidth="1"/>
    <col min="3" max="3" width="5.7109375" style="501" bestFit="1" customWidth="1"/>
    <col min="4" max="4" width="12.140625" style="512" bestFit="1" customWidth="1"/>
    <col min="5" max="6" width="7.42578125" style="501"/>
    <col min="7" max="7" width="12.7109375" style="501" customWidth="1"/>
    <col min="8" max="8" width="12.85546875" style="501" customWidth="1"/>
    <col min="9" max="9" width="5.42578125" style="501" customWidth="1"/>
    <col min="10" max="10" width="10.140625" style="501" customWidth="1"/>
    <col min="11" max="11" width="7.42578125" style="501"/>
    <col min="12" max="12" width="7.85546875" style="501" customWidth="1"/>
    <col min="13" max="13" width="8.42578125" style="501" customWidth="1"/>
    <col min="14" max="14" width="10.7109375" style="501" bestFit="1" customWidth="1"/>
    <col min="15" max="15" width="11.42578125" style="501" customWidth="1"/>
    <col min="16" max="16" width="10.85546875" style="501" customWidth="1"/>
    <col min="17" max="17" width="9.7109375" style="501" hidden="1" customWidth="1"/>
    <col min="18" max="16384" width="7.42578125" style="501"/>
  </cols>
  <sheetData>
    <row r="2" spans="2:17" x14ac:dyDescent="0.2">
      <c r="B2" s="693" t="s">
        <v>454</v>
      </c>
      <c r="C2" s="536"/>
      <c r="J2" s="692"/>
    </row>
    <row r="3" spans="2:17" x14ac:dyDescent="0.2">
      <c r="B3" s="544" t="s">
        <v>453</v>
      </c>
      <c r="C3" s="536"/>
      <c r="J3" s="617"/>
    </row>
    <row r="4" spans="2:17" x14ac:dyDescent="0.2">
      <c r="B4" s="536" t="s">
        <v>400</v>
      </c>
      <c r="C4" s="536"/>
      <c r="J4" s="617"/>
    </row>
    <row r="5" spans="2:17" ht="15" x14ac:dyDescent="0.25">
      <c r="B5" s="514" t="s">
        <v>582</v>
      </c>
      <c r="C5" s="536"/>
    </row>
    <row r="6" spans="2:17" ht="15.75" x14ac:dyDescent="0.25">
      <c r="B6" s="646"/>
      <c r="C6" s="536"/>
      <c r="J6" s="691" t="s">
        <v>399</v>
      </c>
    </row>
    <row r="7" spans="2:17" x14ac:dyDescent="0.2">
      <c r="B7" s="507" t="s">
        <v>398</v>
      </c>
      <c r="C7" s="536"/>
      <c r="I7" s="690"/>
    </row>
    <row r="8" spans="2:17" x14ac:dyDescent="0.2">
      <c r="B8" s="507"/>
      <c r="C8" s="536"/>
      <c r="J8" s="507" t="s">
        <v>397</v>
      </c>
      <c r="L8" s="617"/>
    </row>
    <row r="9" spans="2:17" x14ac:dyDescent="0.2">
      <c r="B9" s="616" t="s">
        <v>396</v>
      </c>
      <c r="K9" s="507"/>
    </row>
    <row r="10" spans="2:17" ht="42.75" customHeight="1" x14ac:dyDescent="0.2">
      <c r="B10" s="689" t="s">
        <v>100</v>
      </c>
      <c r="C10" s="610" t="s">
        <v>395</v>
      </c>
      <c r="D10" s="688" t="s">
        <v>394</v>
      </c>
      <c r="E10" s="687" t="s">
        <v>393</v>
      </c>
      <c r="F10" s="687"/>
      <c r="G10" s="610" t="s">
        <v>392</v>
      </c>
      <c r="H10" s="610" t="s">
        <v>391</v>
      </c>
      <c r="I10" s="608"/>
      <c r="J10" s="607" t="s">
        <v>390</v>
      </c>
      <c r="K10" s="686" t="s">
        <v>389</v>
      </c>
      <c r="L10" s="685" t="s">
        <v>385</v>
      </c>
      <c r="M10" s="685" t="s">
        <v>388</v>
      </c>
      <c r="N10" s="685" t="s">
        <v>387</v>
      </c>
      <c r="O10" s="685" t="s">
        <v>386</v>
      </c>
      <c r="P10" s="684" t="s">
        <v>385</v>
      </c>
    </row>
    <row r="11" spans="2:17" x14ac:dyDescent="0.2">
      <c r="B11" s="683" t="s">
        <v>452</v>
      </c>
      <c r="C11" s="682">
        <v>9163</v>
      </c>
      <c r="D11" s="681">
        <v>113</v>
      </c>
      <c r="E11" s="680">
        <f>18.597625*80</f>
        <v>1487.81</v>
      </c>
      <c r="F11" s="680">
        <f>29.52*80</f>
        <v>2361.6</v>
      </c>
      <c r="G11" s="679">
        <f t="shared" ref="G11:G21" si="0">D11*E11*26.1</f>
        <v>4387998.0329999998</v>
      </c>
      <c r="H11" s="679">
        <f t="shared" ref="H11:H21" si="1">D11*F11*26.1</f>
        <v>6965066.8799999999</v>
      </c>
      <c r="I11" s="600"/>
      <c r="J11" s="599" t="s">
        <v>44</v>
      </c>
      <c r="K11" s="678">
        <v>253</v>
      </c>
      <c r="L11" s="638">
        <f>6510.98+4666.12+1725.78</f>
        <v>12902.88</v>
      </c>
      <c r="M11" s="662">
        <f>0.165+0.062+0.0145+0.075+0.003</f>
        <v>0.31950000000000001</v>
      </c>
      <c r="N11" s="638">
        <f t="shared" ref="N11:N21" si="2">G11*M11</f>
        <v>1401965.3715434999</v>
      </c>
      <c r="O11" s="638">
        <f t="shared" ref="O11:O21" si="3">H11*M11</f>
        <v>2225338.8681600001</v>
      </c>
      <c r="P11" s="668">
        <f t="shared" ref="P11:P21" si="4">D11*L11</f>
        <v>1458025.44</v>
      </c>
      <c r="Q11" s="672" t="s">
        <v>384</v>
      </c>
    </row>
    <row r="12" spans="2:17" x14ac:dyDescent="0.2">
      <c r="B12" s="675" t="s">
        <v>451</v>
      </c>
      <c r="C12" s="677">
        <v>7312</v>
      </c>
      <c r="D12" s="676">
        <v>231</v>
      </c>
      <c r="E12" s="553">
        <f>E11*0.8</f>
        <v>1190.248</v>
      </c>
      <c r="F12" s="553">
        <f>F11*0.8</f>
        <v>1889.28</v>
      </c>
      <c r="G12" s="553">
        <f t="shared" si="0"/>
        <v>7176124.2168000005</v>
      </c>
      <c r="H12" s="553">
        <f t="shared" si="1"/>
        <v>11390658.048</v>
      </c>
      <c r="I12" s="502"/>
      <c r="J12" s="673" t="s">
        <v>44</v>
      </c>
      <c r="K12" s="673">
        <v>253</v>
      </c>
      <c r="L12" s="638">
        <f>L11</f>
        <v>12902.88</v>
      </c>
      <c r="M12" s="662">
        <f>M11</f>
        <v>0.31950000000000001</v>
      </c>
      <c r="N12" s="638">
        <f t="shared" si="2"/>
        <v>2292771.6872676001</v>
      </c>
      <c r="O12" s="638">
        <f t="shared" si="3"/>
        <v>3639315.246336</v>
      </c>
      <c r="P12" s="668">
        <f t="shared" si="4"/>
        <v>2980565.28</v>
      </c>
      <c r="Q12" s="672" t="s">
        <v>44</v>
      </c>
    </row>
    <row r="13" spans="2:17" x14ac:dyDescent="0.2">
      <c r="B13" s="675" t="s">
        <v>450</v>
      </c>
      <c r="C13" s="677">
        <v>7382</v>
      </c>
      <c r="D13" s="676">
        <v>2</v>
      </c>
      <c r="E13" s="553">
        <f>42.0008620689655*80</f>
        <v>3360.06896551724</v>
      </c>
      <c r="F13" s="553">
        <f>42.0008620689655*80</f>
        <v>3360.06896551724</v>
      </c>
      <c r="G13" s="553">
        <f t="shared" si="0"/>
        <v>175395.59999999995</v>
      </c>
      <c r="H13" s="553">
        <f t="shared" si="1"/>
        <v>175395.59999999995</v>
      </c>
      <c r="I13" s="502"/>
      <c r="J13" s="673" t="s">
        <v>44</v>
      </c>
      <c r="K13" s="673">
        <v>130</v>
      </c>
      <c r="L13" s="638">
        <f>6484.79+6053.65+1725.78</f>
        <v>14264.22</v>
      </c>
      <c r="M13" s="662">
        <f>0.165+0.062+0.0145+0.003</f>
        <v>0.24450000000000002</v>
      </c>
      <c r="N13" s="638">
        <f t="shared" si="2"/>
        <v>42884.22419999999</v>
      </c>
      <c r="O13" s="638">
        <f t="shared" si="3"/>
        <v>42884.22419999999</v>
      </c>
      <c r="P13" s="668">
        <f t="shared" si="4"/>
        <v>28528.44</v>
      </c>
      <c r="Q13" s="672" t="s">
        <v>383</v>
      </c>
    </row>
    <row r="14" spans="2:17" x14ac:dyDescent="0.2">
      <c r="B14" s="675" t="s">
        <v>449</v>
      </c>
      <c r="C14" s="674">
        <v>7381</v>
      </c>
      <c r="D14" s="596">
        <v>12</v>
      </c>
      <c r="E14" s="577">
        <f>34.8576149425287*80</f>
        <v>2788.6091954022959</v>
      </c>
      <c r="F14" s="577">
        <f>34.8576149425287*80</f>
        <v>2788.6091954022959</v>
      </c>
      <c r="G14" s="553">
        <f t="shared" si="0"/>
        <v>873392.39999999909</v>
      </c>
      <c r="H14" s="553">
        <f t="shared" si="1"/>
        <v>873392.39999999909</v>
      </c>
      <c r="I14" s="502"/>
      <c r="J14" s="673" t="s">
        <v>44</v>
      </c>
      <c r="K14" s="673">
        <v>130</v>
      </c>
      <c r="L14" s="638">
        <f>L13</f>
        <v>14264.22</v>
      </c>
      <c r="M14" s="662">
        <f>M13</f>
        <v>0.24450000000000002</v>
      </c>
      <c r="N14" s="638">
        <f t="shared" si="2"/>
        <v>213544.4417999998</v>
      </c>
      <c r="O14" s="638">
        <f t="shared" si="3"/>
        <v>213544.4417999998</v>
      </c>
      <c r="P14" s="668">
        <f t="shared" si="4"/>
        <v>171170.63999999998</v>
      </c>
      <c r="Q14" s="672" t="s">
        <v>40</v>
      </c>
    </row>
    <row r="15" spans="2:17" x14ac:dyDescent="0.2">
      <c r="B15" s="675" t="s">
        <v>448</v>
      </c>
      <c r="C15" s="674">
        <v>7410</v>
      </c>
      <c r="D15" s="596">
        <v>8</v>
      </c>
      <c r="E15" s="577">
        <f>23.2662356321839*80</f>
        <v>1861.2988505747121</v>
      </c>
      <c r="F15" s="577">
        <f>28.2748563218391*80</f>
        <v>2261.9885057471279</v>
      </c>
      <c r="G15" s="553">
        <f t="shared" si="0"/>
        <v>388639.1999999999</v>
      </c>
      <c r="H15" s="553">
        <f t="shared" si="1"/>
        <v>472303.2000000003</v>
      </c>
      <c r="I15" s="502"/>
      <c r="J15" s="673" t="s">
        <v>44</v>
      </c>
      <c r="K15" s="673">
        <v>252</v>
      </c>
      <c r="L15" s="638">
        <f>6078.24+4520.24+1583.28</f>
        <v>12181.76</v>
      </c>
      <c r="M15" s="662">
        <f>0.002+0.0064+0.165+0.062+0.0145</f>
        <v>0.24990000000000001</v>
      </c>
      <c r="N15" s="638">
        <f t="shared" si="2"/>
        <v>97120.936079999985</v>
      </c>
      <c r="O15" s="638">
        <f t="shared" si="3"/>
        <v>118028.56968000009</v>
      </c>
      <c r="P15" s="668">
        <f t="shared" si="4"/>
        <v>97454.080000000002</v>
      </c>
      <c r="Q15" s="672"/>
    </row>
    <row r="16" spans="2:17" x14ac:dyDescent="0.2">
      <c r="B16" s="675" t="s">
        <v>447</v>
      </c>
      <c r="C16" s="674">
        <v>9102</v>
      </c>
      <c r="D16" s="596">
        <v>7</v>
      </c>
      <c r="E16" s="577">
        <f>23.6195528522211*80</f>
        <v>1889.5642281776882</v>
      </c>
      <c r="F16" s="577">
        <f>28.7074542821428*80</f>
        <v>2296.596342571424</v>
      </c>
      <c r="G16" s="553">
        <f t="shared" si="0"/>
        <v>345223.38448806363</v>
      </c>
      <c r="H16" s="553">
        <f t="shared" si="1"/>
        <v>419588.1517877992</v>
      </c>
      <c r="I16" s="502"/>
      <c r="J16" s="673" t="s">
        <v>44</v>
      </c>
      <c r="K16" s="673">
        <v>790</v>
      </c>
      <c r="L16" s="638">
        <f>6729.9+4385.78+1725.78</f>
        <v>12841.460000000001</v>
      </c>
      <c r="M16" s="662">
        <f>0.165+0.062+0.0145+0.003+0.0064</f>
        <v>0.25090000000000001</v>
      </c>
      <c r="N16" s="638">
        <f t="shared" si="2"/>
        <v>86616.547168055171</v>
      </c>
      <c r="O16" s="638">
        <f t="shared" si="3"/>
        <v>105274.66728355883</v>
      </c>
      <c r="P16" s="668">
        <f t="shared" si="4"/>
        <v>89890.22</v>
      </c>
      <c r="Q16" s="672"/>
    </row>
    <row r="17" spans="2:17" x14ac:dyDescent="0.2">
      <c r="B17" s="675" t="s">
        <v>446</v>
      </c>
      <c r="C17" s="674">
        <v>9141</v>
      </c>
      <c r="D17" s="596">
        <v>2</v>
      </c>
      <c r="E17" s="577">
        <f>46.425*80</f>
        <v>3714</v>
      </c>
      <c r="F17" s="577">
        <f>56.425*80</f>
        <v>4514</v>
      </c>
      <c r="G17" s="553">
        <f t="shared" si="0"/>
        <v>193870.80000000002</v>
      </c>
      <c r="H17" s="553">
        <f t="shared" si="1"/>
        <v>235630.80000000002</v>
      </c>
      <c r="I17" s="502"/>
      <c r="J17" s="673" t="s">
        <v>44</v>
      </c>
      <c r="K17" s="673">
        <v>200</v>
      </c>
      <c r="L17" s="638">
        <f>6698.9+5189.94+1725.78</f>
        <v>13614.62</v>
      </c>
      <c r="M17" s="662">
        <f>0.165+0.062+0.0145+0.0064+0.003</f>
        <v>0.25090000000000001</v>
      </c>
      <c r="N17" s="638">
        <f t="shared" si="2"/>
        <v>48642.183720000008</v>
      </c>
      <c r="O17" s="638">
        <f t="shared" si="3"/>
        <v>59119.767720000011</v>
      </c>
      <c r="P17" s="668">
        <f t="shared" si="4"/>
        <v>27229.24</v>
      </c>
      <c r="Q17" s="672"/>
    </row>
    <row r="18" spans="2:17" x14ac:dyDescent="0.2">
      <c r="B18" s="675" t="s">
        <v>445</v>
      </c>
      <c r="C18" s="674">
        <v>9140</v>
      </c>
      <c r="D18" s="596">
        <v>4</v>
      </c>
      <c r="E18" s="577">
        <f>41.1125*80</f>
        <v>3289</v>
      </c>
      <c r="F18" s="577">
        <f>49.975*80</f>
        <v>3998</v>
      </c>
      <c r="G18" s="553">
        <f t="shared" si="0"/>
        <v>343371.60000000003</v>
      </c>
      <c r="H18" s="553">
        <f t="shared" si="1"/>
        <v>417391.2</v>
      </c>
      <c r="I18" s="502"/>
      <c r="J18" s="673" t="s">
        <v>44</v>
      </c>
      <c r="K18" s="673">
        <v>200</v>
      </c>
      <c r="L18" s="638">
        <f>L17</f>
        <v>13614.62</v>
      </c>
      <c r="M18" s="662">
        <f>M17</f>
        <v>0.25090000000000001</v>
      </c>
      <c r="N18" s="638">
        <f t="shared" si="2"/>
        <v>86151.934440000012</v>
      </c>
      <c r="O18" s="638">
        <f t="shared" si="3"/>
        <v>104723.45208</v>
      </c>
      <c r="P18" s="668">
        <f t="shared" si="4"/>
        <v>54458.48</v>
      </c>
      <c r="Q18" s="672"/>
    </row>
    <row r="19" spans="2:17" x14ac:dyDescent="0.2">
      <c r="B19" s="675" t="s">
        <v>444</v>
      </c>
      <c r="C19" s="674">
        <v>9139</v>
      </c>
      <c r="D19" s="596">
        <v>14</v>
      </c>
      <c r="E19" s="577">
        <f>34.825*80</f>
        <v>2786</v>
      </c>
      <c r="F19" s="577">
        <f>42.3375*80</f>
        <v>3387</v>
      </c>
      <c r="G19" s="553">
        <f t="shared" si="0"/>
        <v>1018004.4</v>
      </c>
      <c r="H19" s="553">
        <f t="shared" si="1"/>
        <v>1237609.8</v>
      </c>
      <c r="I19" s="502"/>
      <c r="J19" s="673" t="s">
        <v>44</v>
      </c>
      <c r="K19" s="673">
        <v>200</v>
      </c>
      <c r="L19" s="638">
        <f>L17</f>
        <v>13614.62</v>
      </c>
      <c r="M19" s="662">
        <f>M17</f>
        <v>0.25090000000000001</v>
      </c>
      <c r="N19" s="638">
        <f t="shared" si="2"/>
        <v>255417.30396000002</v>
      </c>
      <c r="O19" s="638">
        <f t="shared" si="3"/>
        <v>310516.29882000003</v>
      </c>
      <c r="P19" s="668">
        <f t="shared" si="4"/>
        <v>190604.68000000002</v>
      </c>
      <c r="Q19" s="672"/>
    </row>
    <row r="20" spans="2:17" x14ac:dyDescent="0.2">
      <c r="B20" s="675" t="s">
        <v>443</v>
      </c>
      <c r="C20" s="674">
        <v>1426</v>
      </c>
      <c r="D20" s="596">
        <v>6</v>
      </c>
      <c r="E20" s="577">
        <f>21.6534708375255*80</f>
        <v>1732.2776670020401</v>
      </c>
      <c r="F20" s="577">
        <f>26.3029891155218*80</f>
        <v>2104.2391292417442</v>
      </c>
      <c r="G20" s="553">
        <f t="shared" si="0"/>
        <v>271274.68265251949</v>
      </c>
      <c r="H20" s="553">
        <f t="shared" si="1"/>
        <v>329523.84763925715</v>
      </c>
      <c r="I20" s="502"/>
      <c r="J20" s="673" t="s">
        <v>44</v>
      </c>
      <c r="K20" s="673">
        <v>790</v>
      </c>
      <c r="L20" s="638">
        <f>L16</f>
        <v>12841.460000000001</v>
      </c>
      <c r="M20" s="662">
        <f>M16</f>
        <v>0.25090000000000001</v>
      </c>
      <c r="N20" s="638">
        <f t="shared" si="2"/>
        <v>68062.81787751714</v>
      </c>
      <c r="O20" s="638">
        <f t="shared" si="3"/>
        <v>82677.533372689621</v>
      </c>
      <c r="P20" s="668">
        <f t="shared" si="4"/>
        <v>77048.760000000009</v>
      </c>
      <c r="Q20" s="672"/>
    </row>
    <row r="21" spans="2:17" x14ac:dyDescent="0.2">
      <c r="B21" s="675" t="s">
        <v>442</v>
      </c>
      <c r="C21" s="674">
        <v>2905</v>
      </c>
      <c r="D21" s="596">
        <v>5</v>
      </c>
      <c r="E21" s="577">
        <f>27.0070590261898*80</f>
        <v>2160.5647220951842</v>
      </c>
      <c r="F21" s="577">
        <f>32.8388833805909*80</f>
        <v>2627.1106704472722</v>
      </c>
      <c r="G21" s="553">
        <f t="shared" si="0"/>
        <v>281953.69623342151</v>
      </c>
      <c r="H21" s="553">
        <f t="shared" si="1"/>
        <v>342837.94249336905</v>
      </c>
      <c r="I21" s="502"/>
      <c r="J21" s="673" t="s">
        <v>44</v>
      </c>
      <c r="K21" s="673">
        <v>535</v>
      </c>
      <c r="L21" s="638">
        <f>6666.83+4588.69+1725.78</f>
        <v>12981.300000000001</v>
      </c>
      <c r="M21" s="662">
        <f>0.003+0.0064+0.165+0.062+0.0145</f>
        <v>0.25090000000000001</v>
      </c>
      <c r="N21" s="638">
        <f t="shared" si="2"/>
        <v>70742.182384965461</v>
      </c>
      <c r="O21" s="638">
        <f t="shared" si="3"/>
        <v>86018.039771586293</v>
      </c>
      <c r="P21" s="668">
        <f t="shared" si="4"/>
        <v>64906.500000000007</v>
      </c>
      <c r="Q21" s="672"/>
    </row>
    <row r="22" spans="2:17" ht="6" customHeight="1" x14ac:dyDescent="0.2">
      <c r="B22" s="504"/>
      <c r="C22" s="671"/>
      <c r="D22" s="670"/>
      <c r="E22" s="503"/>
      <c r="F22" s="503"/>
      <c r="G22" s="502"/>
      <c r="H22" s="502"/>
      <c r="I22" s="502"/>
      <c r="J22" s="669"/>
      <c r="K22" s="664"/>
      <c r="L22" s="638"/>
      <c r="M22" s="662"/>
      <c r="N22" s="638"/>
      <c r="O22" s="638"/>
      <c r="P22" s="668"/>
    </row>
    <row r="23" spans="2:17" x14ac:dyDescent="0.2">
      <c r="B23" s="666" t="s">
        <v>441</v>
      </c>
      <c r="C23" s="579"/>
      <c r="D23" s="578"/>
      <c r="E23" s="577"/>
      <c r="F23" s="577"/>
      <c r="G23" s="553">
        <f>SUM(G13:G21)/260*11*1.5*0.5</f>
        <v>123468.41364552126</v>
      </c>
      <c r="H23" s="553">
        <f>SUM(H13:H21)/260*11*1.5*0.5</f>
        <v>142905.00681093655</v>
      </c>
      <c r="I23" s="502"/>
      <c r="J23" s="665" t="s">
        <v>379</v>
      </c>
      <c r="K23" s="664"/>
      <c r="L23" s="663" t="s">
        <v>379</v>
      </c>
      <c r="M23" s="662">
        <f>0.0765+0.003</f>
        <v>7.9500000000000001E-2</v>
      </c>
      <c r="N23" s="638">
        <f>G23*M23</f>
        <v>9815.7388848189403</v>
      </c>
      <c r="O23" s="638">
        <f>H23*M23</f>
        <v>11360.948041469455</v>
      </c>
      <c r="P23" s="667" t="s">
        <v>379</v>
      </c>
    </row>
    <row r="24" spans="2:17" x14ac:dyDescent="0.2">
      <c r="B24" s="666" t="s">
        <v>440</v>
      </c>
      <c r="C24" s="579"/>
      <c r="D24" s="578"/>
      <c r="E24" s="577"/>
      <c r="F24" s="577"/>
      <c r="G24" s="553">
        <f>SUM(G13:G21)*0.085*0.333</f>
        <v>110138.31473230119</v>
      </c>
      <c r="H24" s="553">
        <f>SUM(H13:H21)*0.085*0.333</f>
        <v>127476.46262105764</v>
      </c>
      <c r="I24" s="502"/>
      <c r="J24" s="665" t="s">
        <v>379</v>
      </c>
      <c r="K24" s="664"/>
      <c r="L24" s="663" t="s">
        <v>379</v>
      </c>
      <c r="M24" s="662">
        <f>0.0765+0.003</f>
        <v>7.9500000000000001E-2</v>
      </c>
      <c r="N24" s="638">
        <f>G24*M24</f>
        <v>8755.9960212179449</v>
      </c>
      <c r="O24" s="638">
        <f>H24*M24</f>
        <v>10134.378778374083</v>
      </c>
      <c r="P24" s="661" t="s">
        <v>379</v>
      </c>
    </row>
    <row r="25" spans="2:17" ht="12.75" customHeight="1" x14ac:dyDescent="0.2">
      <c r="B25" s="652" t="s">
        <v>377</v>
      </c>
      <c r="C25" s="536"/>
      <c r="D25" s="660">
        <f>SUM(D11:D21)</f>
        <v>404</v>
      </c>
      <c r="E25" s="559" t="s">
        <v>366</v>
      </c>
      <c r="F25" s="513"/>
      <c r="G25" s="654">
        <f>SUM(G11:G24)</f>
        <v>15688854.741551826</v>
      </c>
      <c r="H25" s="654">
        <f>SUM(H11:H24)</f>
        <v>23129779.339352421</v>
      </c>
      <c r="I25" s="550"/>
      <c r="J25" s="659"/>
      <c r="K25" s="658"/>
      <c r="L25" s="657"/>
      <c r="M25" s="657"/>
      <c r="N25" s="561">
        <f>SUM(N11:N24)</f>
        <v>4682491.3653476741</v>
      </c>
      <c r="O25" s="561">
        <f>SUM(O11:O24)</f>
        <v>7008936.4360436797</v>
      </c>
      <c r="P25" s="560">
        <f>SUM(P11:P24)</f>
        <v>5239881.76</v>
      </c>
    </row>
    <row r="26" spans="2:17" ht="12.75" customHeight="1" x14ac:dyDescent="0.2">
      <c r="B26" s="536"/>
      <c r="C26" s="536"/>
      <c r="D26" s="537"/>
      <c r="E26" s="536"/>
      <c r="F26" s="536"/>
      <c r="G26" s="536"/>
      <c r="H26" s="536"/>
      <c r="I26" s="536"/>
      <c r="J26" s="656"/>
    </row>
    <row r="27" spans="2:17" x14ac:dyDescent="0.2">
      <c r="B27" s="559" t="s">
        <v>376</v>
      </c>
      <c r="C27" s="513"/>
      <c r="D27" s="558" t="s">
        <v>366</v>
      </c>
      <c r="E27" s="513"/>
      <c r="F27" s="513"/>
      <c r="G27" s="513"/>
      <c r="H27" s="513"/>
      <c r="I27" s="513"/>
      <c r="J27" s="656"/>
    </row>
    <row r="28" spans="2:17" x14ac:dyDescent="0.2">
      <c r="B28" s="556" t="s">
        <v>439</v>
      </c>
      <c r="C28" s="542" t="s">
        <v>366</v>
      </c>
      <c r="D28" s="555" t="s">
        <v>366</v>
      </c>
      <c r="E28" s="554" t="s">
        <v>366</v>
      </c>
      <c r="F28" s="542"/>
      <c r="G28" s="553">
        <f>N25</f>
        <v>4682491.3653476741</v>
      </c>
      <c r="H28" s="553">
        <f>O25</f>
        <v>7008936.4360436797</v>
      </c>
      <c r="I28" s="502"/>
    </row>
    <row r="29" spans="2:17" x14ac:dyDescent="0.2">
      <c r="B29" s="554" t="s">
        <v>438</v>
      </c>
      <c r="C29" s="554" t="s">
        <v>366</v>
      </c>
      <c r="D29" s="555" t="s">
        <v>366</v>
      </c>
      <c r="E29" s="554" t="s">
        <v>366</v>
      </c>
      <c r="F29" s="542"/>
      <c r="G29" s="553">
        <f>P25</f>
        <v>5239881.76</v>
      </c>
      <c r="H29" s="553">
        <f>P25</f>
        <v>5239881.76</v>
      </c>
      <c r="I29" s="502"/>
    </row>
    <row r="30" spans="2:17" x14ac:dyDescent="0.2">
      <c r="B30" s="655" t="s">
        <v>356</v>
      </c>
      <c r="C30" s="513"/>
      <c r="D30" s="530"/>
      <c r="E30" s="513"/>
      <c r="F30" s="513"/>
      <c r="G30" s="654">
        <f>G28+G29</f>
        <v>9922373.1253476739</v>
      </c>
      <c r="H30" s="654">
        <f>H28+H29</f>
        <v>12248818.196043679</v>
      </c>
      <c r="I30" s="550"/>
    </row>
    <row r="31" spans="2:17" ht="12.75" customHeight="1" x14ac:dyDescent="0.2">
      <c r="B31" s="513"/>
      <c r="C31" s="513"/>
      <c r="D31" s="530"/>
      <c r="E31" s="513"/>
      <c r="F31" s="513"/>
      <c r="G31" s="513"/>
      <c r="H31" s="513"/>
      <c r="I31" s="513"/>
    </row>
    <row r="32" spans="2:17" x14ac:dyDescent="0.2">
      <c r="B32" s="653" t="s">
        <v>437</v>
      </c>
      <c r="C32" s="536"/>
      <c r="D32" s="537"/>
      <c r="E32" s="513"/>
      <c r="F32" s="513"/>
      <c r="G32" s="536"/>
      <c r="H32" s="536"/>
      <c r="I32" s="536"/>
    </row>
    <row r="33" spans="2:16" x14ac:dyDescent="0.2">
      <c r="B33" s="1064" t="s">
        <v>436</v>
      </c>
      <c r="C33" s="1064"/>
      <c r="D33" s="1064"/>
      <c r="E33" s="1064"/>
      <c r="F33" s="1064"/>
      <c r="G33" s="547">
        <v>1648574.9535211266</v>
      </c>
      <c r="H33" s="547">
        <f>G33</f>
        <v>1648574.9535211266</v>
      </c>
      <c r="I33" s="536"/>
    </row>
    <row r="34" spans="2:16" x14ac:dyDescent="0.2">
      <c r="B34" s="1064" t="s">
        <v>435</v>
      </c>
      <c r="C34" s="1064"/>
      <c r="D34" s="1064"/>
      <c r="E34" s="1064"/>
      <c r="F34" s="1064"/>
      <c r="G34" s="547">
        <v>1916468.3834683097</v>
      </c>
      <c r="H34" s="547">
        <f>G34</f>
        <v>1916468.3834683097</v>
      </c>
      <c r="I34" s="536"/>
    </row>
    <row r="35" spans="2:16" x14ac:dyDescent="0.2">
      <c r="B35" s="1064" t="s">
        <v>434</v>
      </c>
      <c r="C35" s="1064"/>
      <c r="D35" s="1064"/>
      <c r="E35" s="1064"/>
      <c r="F35" s="1064"/>
      <c r="G35" s="547">
        <f>364*1375</f>
        <v>500500</v>
      </c>
      <c r="H35" s="547">
        <f>G35</f>
        <v>500500</v>
      </c>
      <c r="I35" s="536"/>
    </row>
    <row r="36" spans="2:16" x14ac:dyDescent="0.2">
      <c r="B36" s="1064" t="s">
        <v>433</v>
      </c>
      <c r="C36" s="1064"/>
      <c r="D36" s="1064"/>
      <c r="E36" s="1064"/>
      <c r="F36" s="1064"/>
      <c r="G36" s="546">
        <v>876834</v>
      </c>
      <c r="H36" s="546">
        <f>G36</f>
        <v>876834</v>
      </c>
      <c r="I36" s="536"/>
    </row>
    <row r="37" spans="2:16" x14ac:dyDescent="0.2">
      <c r="B37" s="652" t="s">
        <v>372</v>
      </c>
      <c r="C37" s="536"/>
      <c r="D37" s="530"/>
      <c r="E37" s="513"/>
      <c r="F37" s="513"/>
      <c r="G37" s="540">
        <f>SUM(G33:G36)</f>
        <v>4942377.3369894363</v>
      </c>
      <c r="H37" s="540">
        <f>SUM(H33:H36)</f>
        <v>4942377.3369894363</v>
      </c>
      <c r="I37" s="539"/>
    </row>
    <row r="38" spans="2:16" x14ac:dyDescent="0.2">
      <c r="B38" s="513"/>
      <c r="C38" s="536"/>
      <c r="D38" s="530"/>
      <c r="E38" s="513"/>
      <c r="F38" s="513"/>
      <c r="G38" s="513"/>
      <c r="H38" s="513"/>
      <c r="I38" s="513"/>
    </row>
    <row r="39" spans="2:16" x14ac:dyDescent="0.2">
      <c r="B39" s="538" t="s">
        <v>371</v>
      </c>
      <c r="C39" s="513"/>
      <c r="D39" s="530"/>
      <c r="E39" s="513"/>
      <c r="F39" s="513"/>
      <c r="G39" s="540">
        <f>G25+G30+G37</f>
        <v>30553605.203888934</v>
      </c>
      <c r="H39" s="540">
        <f>H25+H30+H37</f>
        <v>40320974.872385532</v>
      </c>
      <c r="I39" s="539"/>
    </row>
    <row r="40" spans="2:16" x14ac:dyDescent="0.2">
      <c r="B40" s="513"/>
      <c r="C40" s="513"/>
      <c r="D40" s="530"/>
      <c r="E40" s="513"/>
      <c r="F40" s="513"/>
      <c r="G40" s="513"/>
      <c r="H40" s="513"/>
      <c r="I40" s="513"/>
    </row>
    <row r="41" spans="2:16" x14ac:dyDescent="0.2">
      <c r="B41" s="538" t="s">
        <v>432</v>
      </c>
      <c r="C41" s="536"/>
      <c r="D41" s="537"/>
      <c r="E41" s="536"/>
      <c r="F41" s="536"/>
      <c r="G41" s="651">
        <f>-SUM('[13]Contract Cost Detail'!F5,'[13]Contract Cost Detail'!P10:P11,'[13]Contract Cost Detail'!P15:P16)</f>
        <v>-20709088.577607352</v>
      </c>
      <c r="H41" s="650">
        <f>-SUM('[13]Contract Cost Detail'!G5,'[13]Contract Cost Detail'!Q10:Q11,'[13]Contract Cost Detail'!Q15:Q16)</f>
        <v>-20716375.256568339</v>
      </c>
      <c r="I41" s="533"/>
    </row>
    <row r="42" spans="2:16" x14ac:dyDescent="0.2">
      <c r="B42" s="513"/>
      <c r="C42" s="513"/>
      <c r="D42" s="530"/>
      <c r="E42" s="513"/>
      <c r="F42" s="513"/>
      <c r="G42" s="532"/>
      <c r="H42" s="532"/>
      <c r="I42" s="503"/>
    </row>
    <row r="43" spans="2:16" ht="13.5" thickBot="1" x14ac:dyDescent="0.25">
      <c r="B43" s="531" t="s">
        <v>369</v>
      </c>
      <c r="C43" s="513"/>
      <c r="D43" s="530"/>
      <c r="E43" s="513"/>
      <c r="F43" s="513"/>
      <c r="G43" s="529">
        <f>G39+G41</f>
        <v>9844516.6262815818</v>
      </c>
      <c r="H43" s="529">
        <f>H39+H41</f>
        <v>19604599.615817193</v>
      </c>
      <c r="I43" s="528"/>
    </row>
    <row r="44" spans="2:16" ht="13.5" thickTop="1" x14ac:dyDescent="0.2">
      <c r="B44" s="527" t="s">
        <v>368</v>
      </c>
      <c r="G44" s="526">
        <f>G43/G39</f>
        <v>0.32220474672588062</v>
      </c>
      <c r="H44" s="526">
        <f>H43/H39</f>
        <v>0.48621343302995679</v>
      </c>
      <c r="I44" s="524"/>
    </row>
    <row r="45" spans="2:16" x14ac:dyDescent="0.2">
      <c r="G45" s="649"/>
      <c r="H45" s="649"/>
      <c r="I45" s="649"/>
    </row>
    <row r="46" spans="2:16" x14ac:dyDescent="0.2">
      <c r="B46" s="648" t="s">
        <v>367</v>
      </c>
      <c r="D46" s="647" t="s">
        <v>366</v>
      </c>
    </row>
    <row r="47" spans="2:16" x14ac:dyDescent="0.2">
      <c r="B47" s="1096" t="s">
        <v>431</v>
      </c>
      <c r="C47" s="1096"/>
      <c r="D47" s="1096"/>
      <c r="E47" s="1096"/>
      <c r="F47" s="1096"/>
      <c r="G47" s="1096"/>
      <c r="H47" s="1096"/>
      <c r="I47" s="518"/>
      <c r="J47" s="518"/>
      <c r="K47" s="518"/>
      <c r="L47" s="518"/>
      <c r="M47" s="518"/>
      <c r="N47" s="518"/>
      <c r="O47" s="518"/>
      <c r="P47" s="518"/>
    </row>
    <row r="48" spans="2:16" ht="27" customHeight="1" x14ac:dyDescent="0.25">
      <c r="B48" s="1098" t="s">
        <v>430</v>
      </c>
      <c r="C48" s="1099"/>
      <c r="D48" s="1099"/>
      <c r="E48" s="1099"/>
      <c r="F48" s="1099"/>
      <c r="G48" s="1099"/>
      <c r="H48" s="1099"/>
      <c r="I48" s="518"/>
      <c r="J48" s="518"/>
      <c r="K48" s="518"/>
      <c r="L48" s="518"/>
      <c r="M48" s="518"/>
      <c r="N48" s="518"/>
      <c r="O48" s="518"/>
      <c r="P48" s="518"/>
    </row>
    <row r="49" spans="2:16" ht="27" customHeight="1" x14ac:dyDescent="0.2">
      <c r="B49" s="1061" t="s">
        <v>365</v>
      </c>
      <c r="C49" s="1061"/>
      <c r="D49" s="1061"/>
      <c r="E49" s="1061"/>
      <c r="F49" s="1061"/>
      <c r="G49" s="1061"/>
      <c r="H49" s="1061"/>
      <c r="I49" s="518"/>
      <c r="J49" s="518"/>
      <c r="K49" s="518"/>
      <c r="L49" s="518"/>
      <c r="M49" s="518"/>
      <c r="N49" s="518"/>
      <c r="O49" s="518"/>
      <c r="P49" s="518"/>
    </row>
    <row r="50" spans="2:16" x14ac:dyDescent="0.2">
      <c r="B50" s="646" t="s">
        <v>364</v>
      </c>
      <c r="C50" s="518"/>
      <c r="D50" s="518"/>
      <c r="E50" s="518"/>
      <c r="F50" s="518"/>
      <c r="G50" s="518"/>
      <c r="H50" s="518"/>
      <c r="I50" s="518"/>
      <c r="J50" s="518"/>
      <c r="K50" s="518"/>
      <c r="L50" s="518"/>
      <c r="M50" s="518"/>
      <c r="N50" s="518"/>
      <c r="O50" s="518"/>
      <c r="P50" s="518"/>
    </row>
    <row r="51" spans="2:16" ht="27.75" customHeight="1" x14ac:dyDescent="0.2">
      <c r="B51" s="1096" t="s">
        <v>429</v>
      </c>
      <c r="C51" s="1096"/>
      <c r="D51" s="1096"/>
      <c r="E51" s="1096"/>
      <c r="F51" s="1096"/>
      <c r="G51" s="1096"/>
      <c r="H51" s="1096"/>
      <c r="I51" s="518"/>
      <c r="J51" s="518"/>
      <c r="K51" s="518"/>
      <c r="L51" s="518"/>
      <c r="M51" s="518"/>
      <c r="N51" s="518"/>
      <c r="O51" s="518"/>
      <c r="P51" s="518"/>
    </row>
    <row r="52" spans="2:16" x14ac:dyDescent="0.2">
      <c r="B52" s="519" t="s">
        <v>428</v>
      </c>
      <c r="C52" s="519"/>
      <c r="D52" s="519"/>
      <c r="E52" s="519"/>
      <c r="F52" s="519"/>
      <c r="G52" s="519"/>
      <c r="H52" s="519"/>
    </row>
    <row r="53" spans="2:16" ht="27" customHeight="1" x14ac:dyDescent="0.2">
      <c r="B53" s="1097" t="s">
        <v>427</v>
      </c>
      <c r="C53" s="1097"/>
      <c r="D53" s="1097"/>
      <c r="E53" s="1097"/>
      <c r="F53" s="1097"/>
      <c r="G53" s="1097"/>
      <c r="H53" s="1097"/>
    </row>
    <row r="54" spans="2:16" x14ac:dyDescent="0.2">
      <c r="B54" s="645"/>
    </row>
  </sheetData>
  <mergeCells count="9">
    <mergeCell ref="B49:H49"/>
    <mergeCell ref="B51:H51"/>
    <mergeCell ref="B53:H53"/>
    <mergeCell ref="B33:F33"/>
    <mergeCell ref="B34:F34"/>
    <mergeCell ref="B35:F35"/>
    <mergeCell ref="B36:F36"/>
    <mergeCell ref="B47:H47"/>
    <mergeCell ref="B48:H48"/>
  </mergeCells>
  <dataValidations count="1">
    <dataValidation type="list" allowBlank="1" showInputMessage="1" showErrorMessage="1" error="Please enter either an S or a C." sqref="J11:J21">
      <formula1>$Q$11:$Q$12</formula1>
    </dataValidation>
  </dataValidations>
  <pageMargins left="0.33" right="0.26" top="0.51" bottom="0.49" header="0.35" footer="0.35"/>
  <pageSetup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39997558519241921"/>
  </sheetPr>
  <dimension ref="B2:AA61"/>
  <sheetViews>
    <sheetView showGridLines="0" view="pageBreakPreview" zoomScaleNormal="80" zoomScaleSheetLayoutView="100" zoomScalePageLayoutView="80" workbookViewId="0">
      <selection activeCell="V57" sqref="V57"/>
    </sheetView>
  </sheetViews>
  <sheetFormatPr defaultColWidth="7.85546875" defaultRowHeight="14.25" x14ac:dyDescent="0.2"/>
  <cols>
    <col min="1" max="1" width="5" style="3" customWidth="1"/>
    <col min="2" max="2" width="5.85546875" style="3" customWidth="1"/>
    <col min="3" max="3" width="7.140625" style="3" customWidth="1"/>
    <col min="4" max="4" width="44.42578125" style="3" bestFit="1" customWidth="1"/>
    <col min="5" max="5" width="13.28515625" style="3" customWidth="1"/>
    <col min="6" max="6" width="9.7109375" style="3" customWidth="1"/>
    <col min="7" max="8" width="13" style="3" customWidth="1"/>
    <col min="9" max="9" width="11.28515625" style="3" customWidth="1"/>
    <col min="10" max="11" width="11" style="3" customWidth="1"/>
    <col min="12" max="13" width="14" style="3" bestFit="1" customWidth="1"/>
    <col min="14" max="14" width="1.85546875" style="3" customWidth="1"/>
    <col min="15" max="16" width="11" style="3" customWidth="1"/>
    <col min="17" max="17" width="14" style="3" bestFit="1" customWidth="1"/>
    <col min="18" max="18" width="11" style="3" customWidth="1"/>
    <col min="19" max="19" width="1.85546875" style="3" customWidth="1"/>
    <col min="20" max="21" width="11" style="3" customWidth="1"/>
    <col min="22" max="22" width="12.7109375" style="3" bestFit="1" customWidth="1"/>
    <col min="23" max="23" width="11" style="3" customWidth="1"/>
    <col min="24" max="24" width="1.85546875" style="3" customWidth="1"/>
    <col min="25" max="26" width="11" style="3" customWidth="1"/>
    <col min="27" max="27" width="11.28515625" style="3" customWidth="1"/>
    <col min="28" max="28" width="4.7109375" style="3" customWidth="1"/>
    <col min="29" max="29" width="10" style="3" customWidth="1"/>
    <col min="30" max="16384" width="7.85546875" style="3"/>
  </cols>
  <sheetData>
    <row r="2" spans="2:27" ht="27.75" customHeight="1" x14ac:dyDescent="0.3">
      <c r="B2" s="113" t="s">
        <v>64</v>
      </c>
    </row>
    <row r="3" spans="2:27" ht="20.25" x14ac:dyDescent="0.2">
      <c r="B3" s="112" t="s">
        <v>1</v>
      </c>
      <c r="Q3" s="98"/>
      <c r="R3" s="111"/>
      <c r="S3" s="111"/>
    </row>
    <row r="4" spans="2:27" ht="21" thickBot="1" x14ac:dyDescent="0.25">
      <c r="B4" s="112"/>
      <c r="Q4" s="98"/>
      <c r="R4" s="111"/>
      <c r="S4" s="111"/>
    </row>
    <row r="5" spans="2:27" ht="18.75" customHeight="1" thickBot="1" x14ac:dyDescent="0.3">
      <c r="B5" s="110" t="s">
        <v>63</v>
      </c>
      <c r="C5" s="109"/>
      <c r="D5" s="108"/>
      <c r="E5" s="108"/>
      <c r="F5" s="108"/>
      <c r="G5" s="108"/>
      <c r="H5" s="107"/>
      <c r="I5" s="102"/>
      <c r="Q5" s="98"/>
      <c r="R5" s="89"/>
      <c r="S5" s="89"/>
    </row>
    <row r="6" spans="2:27" ht="18.75" customHeight="1" thickBot="1" x14ac:dyDescent="0.3">
      <c r="B6" s="106" t="s">
        <v>75</v>
      </c>
      <c r="C6" s="105"/>
      <c r="D6" s="104"/>
      <c r="E6" s="104"/>
      <c r="F6" s="104"/>
      <c r="G6" s="104"/>
      <c r="H6" s="103"/>
      <c r="I6" s="102"/>
      <c r="Q6" s="98"/>
      <c r="R6" s="89"/>
      <c r="S6" s="89"/>
    </row>
    <row r="7" spans="2:27" ht="18.75" customHeight="1" x14ac:dyDescent="0.25">
      <c r="B7" s="101"/>
      <c r="C7" s="101"/>
      <c r="D7" s="100"/>
      <c r="E7" s="100"/>
      <c r="F7" s="100"/>
      <c r="G7" s="100"/>
      <c r="H7" s="100"/>
      <c r="I7" s="99"/>
      <c r="Q7" s="98"/>
      <c r="R7" s="89"/>
      <c r="S7" s="89"/>
    </row>
    <row r="8" spans="2:27" ht="15" x14ac:dyDescent="0.25">
      <c r="B8" s="927" t="s">
        <v>76</v>
      </c>
      <c r="C8" s="927"/>
      <c r="D8" s="927"/>
      <c r="E8" s="927"/>
      <c r="F8" s="927"/>
      <c r="G8" s="927"/>
      <c r="H8" s="927"/>
      <c r="I8" s="927"/>
      <c r="J8" s="927"/>
      <c r="K8" s="927"/>
      <c r="L8" s="97"/>
      <c r="T8" s="96"/>
      <c r="U8" s="96"/>
      <c r="V8" s="74"/>
    </row>
    <row r="9" spans="2:27" x14ac:dyDescent="0.2">
      <c r="B9" s="70"/>
      <c r="C9" s="70"/>
      <c r="D9" s="70"/>
      <c r="E9" s="70"/>
      <c r="F9" s="70"/>
      <c r="G9" s="70"/>
      <c r="H9" s="70"/>
      <c r="I9" s="70"/>
      <c r="J9" s="70"/>
      <c r="K9" s="70"/>
      <c r="L9" s="70"/>
      <c r="M9" s="70"/>
      <c r="N9" s="70"/>
      <c r="O9" s="70"/>
      <c r="P9" s="70"/>
      <c r="Q9" s="70"/>
      <c r="R9" s="70"/>
      <c r="S9" s="70"/>
      <c r="T9" s="70"/>
      <c r="U9" s="70"/>
      <c r="V9" s="70"/>
      <c r="W9" s="70"/>
      <c r="X9" s="70"/>
      <c r="Y9" s="70"/>
      <c r="Z9" s="70"/>
      <c r="AA9" s="70"/>
    </row>
    <row r="10" spans="2:27" ht="22.5" customHeight="1" x14ac:dyDescent="0.25">
      <c r="B10" s="95" t="s">
        <v>62</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row>
    <row r="11" spans="2:27" s="5" customFormat="1" ht="59.25" customHeight="1" x14ac:dyDescent="0.2">
      <c r="B11" s="85" t="s">
        <v>59</v>
      </c>
      <c r="C11" s="85" t="s">
        <v>61</v>
      </c>
      <c r="D11" s="85" t="s">
        <v>57</v>
      </c>
      <c r="E11" s="85" t="s">
        <v>56</v>
      </c>
      <c r="F11" s="85" t="s">
        <v>55</v>
      </c>
      <c r="G11" s="85" t="s">
        <v>54</v>
      </c>
      <c r="H11" s="85" t="s">
        <v>53</v>
      </c>
      <c r="I11" s="87" t="s">
        <v>52</v>
      </c>
      <c r="J11" s="85" t="s">
        <v>77</v>
      </c>
      <c r="K11" s="85" t="s">
        <v>51</v>
      </c>
      <c r="L11" s="85" t="s">
        <v>78</v>
      </c>
      <c r="M11" s="85" t="s">
        <v>50</v>
      </c>
      <c r="N11" s="86"/>
      <c r="O11" s="85" t="s">
        <v>79</v>
      </c>
      <c r="P11" s="85" t="s">
        <v>80</v>
      </c>
      <c r="Q11" s="85" t="s">
        <v>49</v>
      </c>
      <c r="R11" s="85" t="s">
        <v>48</v>
      </c>
      <c r="S11" s="86"/>
      <c r="T11" s="85" t="s">
        <v>81</v>
      </c>
      <c r="U11" s="85" t="s">
        <v>82</v>
      </c>
      <c r="V11" s="85" t="s">
        <v>83</v>
      </c>
      <c r="W11" s="85" t="s">
        <v>84</v>
      </c>
      <c r="X11" s="86"/>
      <c r="Y11" s="85" t="s">
        <v>47</v>
      </c>
      <c r="Z11" s="85" t="s">
        <v>46</v>
      </c>
    </row>
    <row r="12" spans="2:27" ht="17.25" customHeight="1" x14ac:dyDescent="0.2">
      <c r="B12" s="93"/>
      <c r="C12" s="93"/>
      <c r="D12" s="92"/>
      <c r="E12" s="89"/>
      <c r="F12" s="89"/>
      <c r="G12" s="89"/>
      <c r="H12" s="89"/>
      <c r="I12" s="92"/>
      <c r="J12" s="88"/>
      <c r="K12" s="89"/>
      <c r="L12" s="88"/>
      <c r="M12" s="91"/>
      <c r="N12" s="91"/>
      <c r="O12" s="88"/>
      <c r="P12" s="89"/>
      <c r="Q12" s="88"/>
      <c r="R12" s="90"/>
      <c r="S12" s="90"/>
      <c r="T12" s="88"/>
      <c r="U12" s="89"/>
      <c r="V12" s="88"/>
      <c r="W12" s="90"/>
      <c r="X12" s="90"/>
      <c r="Y12" s="89"/>
      <c r="Z12" s="88"/>
    </row>
    <row r="13" spans="2:27" ht="17.25" customHeight="1" x14ac:dyDescent="0.25">
      <c r="B13" s="94" t="s">
        <v>60</v>
      </c>
      <c r="C13" s="93"/>
      <c r="D13" s="92"/>
      <c r="E13" s="89"/>
      <c r="F13" s="89"/>
      <c r="G13" s="89"/>
      <c r="H13" s="89"/>
      <c r="I13" s="92"/>
      <c r="J13" s="88"/>
      <c r="K13" s="89"/>
      <c r="L13" s="88"/>
      <c r="M13" s="91"/>
      <c r="N13" s="91"/>
      <c r="O13" s="88"/>
      <c r="P13" s="89"/>
      <c r="Q13" s="88"/>
      <c r="R13" s="90"/>
      <c r="S13" s="90"/>
      <c r="T13" s="88"/>
      <c r="U13" s="89"/>
      <c r="V13" s="88"/>
      <c r="W13" s="90"/>
      <c r="X13" s="90"/>
      <c r="Y13" s="89"/>
      <c r="Z13" s="88"/>
    </row>
    <row r="14" spans="2:27" ht="59.25" customHeight="1" x14ac:dyDescent="0.2">
      <c r="B14" s="85" t="s">
        <v>59</v>
      </c>
      <c r="C14" s="85" t="s">
        <v>58</v>
      </c>
      <c r="D14" s="85" t="s">
        <v>57</v>
      </c>
      <c r="E14" s="85" t="s">
        <v>56</v>
      </c>
      <c r="F14" s="85" t="s">
        <v>55</v>
      </c>
      <c r="G14" s="85" t="s">
        <v>54</v>
      </c>
      <c r="H14" s="85" t="s">
        <v>53</v>
      </c>
      <c r="I14" s="87" t="s">
        <v>52</v>
      </c>
      <c r="J14" s="85" t="s">
        <v>77</v>
      </c>
      <c r="K14" s="85" t="s">
        <v>51</v>
      </c>
      <c r="L14" s="85" t="s">
        <v>78</v>
      </c>
      <c r="M14" s="85" t="s">
        <v>50</v>
      </c>
      <c r="N14" s="86"/>
      <c r="O14" s="85" t="s">
        <v>79</v>
      </c>
      <c r="P14" s="85" t="s">
        <v>80</v>
      </c>
      <c r="Q14" s="85" t="s">
        <v>49</v>
      </c>
      <c r="R14" s="85" t="s">
        <v>48</v>
      </c>
      <c r="S14" s="86"/>
      <c r="T14" s="85" t="s">
        <v>81</v>
      </c>
      <c r="U14" s="85" t="s">
        <v>82</v>
      </c>
      <c r="V14" s="85" t="s">
        <v>83</v>
      </c>
      <c r="W14" s="85" t="s">
        <v>84</v>
      </c>
      <c r="X14" s="86"/>
      <c r="Y14" s="85" t="s">
        <v>47</v>
      </c>
      <c r="Z14" s="85" t="s">
        <v>46</v>
      </c>
    </row>
    <row r="15" spans="2:27" ht="15.75" customHeight="1" x14ac:dyDescent="0.2">
      <c r="B15" s="83">
        <v>1</v>
      </c>
      <c r="C15" s="861" t="s">
        <v>44</v>
      </c>
      <c r="D15" s="862" t="s">
        <v>713</v>
      </c>
      <c r="E15" s="863" t="s">
        <v>714</v>
      </c>
      <c r="F15" s="864" t="s">
        <v>715</v>
      </c>
      <c r="G15" s="862">
        <v>60136</v>
      </c>
      <c r="H15" s="862">
        <v>805001</v>
      </c>
      <c r="I15" s="865" t="s">
        <v>716</v>
      </c>
      <c r="J15" s="866">
        <v>500</v>
      </c>
      <c r="K15" s="867">
        <v>0</v>
      </c>
      <c r="L15" s="868">
        <f>J15*K15</f>
        <v>0</v>
      </c>
      <c r="M15" s="869"/>
      <c r="N15" s="870"/>
      <c r="O15" s="866">
        <v>500</v>
      </c>
      <c r="P15" s="862">
        <v>11</v>
      </c>
      <c r="Q15" s="868">
        <f>O15*P15</f>
        <v>5500</v>
      </c>
      <c r="R15" s="868">
        <f>Q15</f>
        <v>5500</v>
      </c>
      <c r="S15" s="871"/>
      <c r="T15" s="868">
        <f>IF(F15="Yes", O15*(1+I6), O15)</f>
        <v>500</v>
      </c>
      <c r="U15" s="872">
        <v>0</v>
      </c>
      <c r="V15" s="868">
        <f>T15*U15</f>
        <v>0</v>
      </c>
      <c r="W15" s="873">
        <f>V15</f>
        <v>0</v>
      </c>
      <c r="X15" s="871"/>
      <c r="Y15" s="864"/>
      <c r="Z15" s="868">
        <v>0</v>
      </c>
    </row>
    <row r="16" spans="2:27" ht="15.75" customHeight="1" x14ac:dyDescent="0.2">
      <c r="B16" s="83">
        <f t="shared" ref="B16:B53" si="0">B15+1</f>
        <v>2</v>
      </c>
      <c r="C16" s="861" t="s">
        <v>44</v>
      </c>
      <c r="D16" s="862" t="s">
        <v>717</v>
      </c>
      <c r="E16" s="863" t="s">
        <v>714</v>
      </c>
      <c r="F16" s="864" t="s">
        <v>715</v>
      </c>
      <c r="G16" s="862">
        <v>60136</v>
      </c>
      <c r="H16" s="862">
        <v>805001</v>
      </c>
      <c r="I16" s="865" t="s">
        <v>716</v>
      </c>
      <c r="J16" s="866">
        <v>500</v>
      </c>
      <c r="K16" s="867">
        <v>0</v>
      </c>
      <c r="L16" s="868">
        <f t="shared" ref="L16:L45" si="1">J16*K16</f>
        <v>0</v>
      </c>
      <c r="M16" s="869">
        <v>1930</v>
      </c>
      <c r="N16" s="870"/>
      <c r="O16" s="866">
        <v>500</v>
      </c>
      <c r="P16" s="862">
        <v>8</v>
      </c>
      <c r="Q16" s="868">
        <f t="shared" ref="Q16:Q53" si="2">O16*P16</f>
        <v>4000</v>
      </c>
      <c r="R16" s="868">
        <f t="shared" ref="R16:R53" si="3">Q16</f>
        <v>4000</v>
      </c>
      <c r="S16" s="874"/>
      <c r="T16" s="868">
        <f>IF(F16="Yes", O16*(1+#REF!), O16)</f>
        <v>500</v>
      </c>
      <c r="U16" s="872">
        <v>0</v>
      </c>
      <c r="V16" s="868">
        <f t="shared" ref="V16:V53" si="4">T16*U16</f>
        <v>0</v>
      </c>
      <c r="W16" s="873">
        <f t="shared" ref="W16:W54" si="5">V16</f>
        <v>0</v>
      </c>
      <c r="X16" s="874"/>
      <c r="Y16" s="864"/>
      <c r="Z16" s="868">
        <v>0</v>
      </c>
    </row>
    <row r="17" spans="2:26" ht="15.75" customHeight="1" x14ac:dyDescent="0.2">
      <c r="B17" s="83">
        <f t="shared" si="0"/>
        <v>3</v>
      </c>
      <c r="C17" s="861" t="s">
        <v>44</v>
      </c>
      <c r="D17" s="862" t="s">
        <v>718</v>
      </c>
      <c r="E17" s="863" t="s">
        <v>714</v>
      </c>
      <c r="F17" s="864" t="s">
        <v>715</v>
      </c>
      <c r="G17" s="862">
        <v>60136</v>
      </c>
      <c r="H17" s="862">
        <v>805001</v>
      </c>
      <c r="I17" s="865" t="s">
        <v>716</v>
      </c>
      <c r="J17" s="866">
        <v>500</v>
      </c>
      <c r="K17" s="867">
        <v>3</v>
      </c>
      <c r="L17" s="868">
        <f t="shared" si="1"/>
        <v>1500</v>
      </c>
      <c r="M17" s="869">
        <v>1500</v>
      </c>
      <c r="N17" s="870"/>
      <c r="O17" s="866">
        <v>500</v>
      </c>
      <c r="P17" s="862">
        <v>0</v>
      </c>
      <c r="Q17" s="868">
        <f t="shared" si="2"/>
        <v>0</v>
      </c>
      <c r="R17" s="868">
        <f t="shared" si="3"/>
        <v>0</v>
      </c>
      <c r="S17" s="874"/>
      <c r="T17" s="868">
        <f>IF(F17="Yes", O17*(1+#REF!), O17)</f>
        <v>500</v>
      </c>
      <c r="U17" s="872">
        <v>0</v>
      </c>
      <c r="V17" s="868">
        <f t="shared" si="4"/>
        <v>0</v>
      </c>
      <c r="W17" s="873">
        <f t="shared" si="5"/>
        <v>0</v>
      </c>
      <c r="X17" s="874"/>
      <c r="Y17" s="864"/>
      <c r="Z17" s="868">
        <v>0</v>
      </c>
    </row>
    <row r="18" spans="2:26" ht="15.75" customHeight="1" x14ac:dyDescent="0.2">
      <c r="B18" s="83">
        <f t="shared" si="0"/>
        <v>4</v>
      </c>
      <c r="C18" s="861" t="s">
        <v>44</v>
      </c>
      <c r="D18" s="862" t="s">
        <v>719</v>
      </c>
      <c r="E18" s="863" t="s">
        <v>714</v>
      </c>
      <c r="F18" s="864" t="s">
        <v>715</v>
      </c>
      <c r="G18" s="862">
        <v>60136</v>
      </c>
      <c r="H18" s="862">
        <v>805001</v>
      </c>
      <c r="I18" s="865" t="s">
        <v>716</v>
      </c>
      <c r="J18" s="866">
        <v>500</v>
      </c>
      <c r="K18" s="867">
        <v>0</v>
      </c>
      <c r="L18" s="868">
        <f t="shared" si="1"/>
        <v>0</v>
      </c>
      <c r="M18" s="869"/>
      <c r="N18" s="870"/>
      <c r="O18" s="866">
        <v>500</v>
      </c>
      <c r="P18" s="862">
        <v>0</v>
      </c>
      <c r="Q18" s="868">
        <f t="shared" si="2"/>
        <v>0</v>
      </c>
      <c r="R18" s="868">
        <f t="shared" si="3"/>
        <v>0</v>
      </c>
      <c r="S18" s="874"/>
      <c r="T18" s="868">
        <f>IF(F18="Yes", O18*(1+#REF!), O18)</f>
        <v>500</v>
      </c>
      <c r="U18" s="872">
        <v>0</v>
      </c>
      <c r="V18" s="868">
        <f t="shared" si="4"/>
        <v>0</v>
      </c>
      <c r="W18" s="873">
        <f t="shared" si="5"/>
        <v>0</v>
      </c>
      <c r="X18" s="874"/>
      <c r="Y18" s="864"/>
      <c r="Z18" s="868">
        <v>0</v>
      </c>
    </row>
    <row r="19" spans="2:26" ht="15.75" customHeight="1" x14ac:dyDescent="0.2">
      <c r="B19" s="83">
        <f t="shared" si="0"/>
        <v>5</v>
      </c>
      <c r="C19" s="861" t="s">
        <v>44</v>
      </c>
      <c r="D19" s="862" t="s">
        <v>720</v>
      </c>
      <c r="E19" s="863" t="s">
        <v>714</v>
      </c>
      <c r="F19" s="864" t="s">
        <v>715</v>
      </c>
      <c r="G19" s="862">
        <v>60136</v>
      </c>
      <c r="H19" s="862">
        <v>805001</v>
      </c>
      <c r="I19" s="865" t="s">
        <v>716</v>
      </c>
      <c r="J19" s="866">
        <v>500</v>
      </c>
      <c r="K19" s="867">
        <v>4</v>
      </c>
      <c r="L19" s="868">
        <f>J19*K19</f>
        <v>2000</v>
      </c>
      <c r="M19" s="869">
        <v>2000</v>
      </c>
      <c r="N19" s="870"/>
      <c r="O19" s="866">
        <v>500</v>
      </c>
      <c r="P19" s="862">
        <v>0</v>
      </c>
      <c r="Q19" s="868">
        <f t="shared" si="2"/>
        <v>0</v>
      </c>
      <c r="R19" s="868">
        <f t="shared" si="3"/>
        <v>0</v>
      </c>
      <c r="S19" s="874"/>
      <c r="T19" s="868">
        <f>IF(F19="Yes", O19*(1+#REF!), O19)</f>
        <v>500</v>
      </c>
      <c r="U19" s="872">
        <v>0</v>
      </c>
      <c r="V19" s="868">
        <f t="shared" si="4"/>
        <v>0</v>
      </c>
      <c r="W19" s="873">
        <f t="shared" si="5"/>
        <v>0</v>
      </c>
      <c r="X19" s="874"/>
      <c r="Y19" s="864"/>
      <c r="Z19" s="868">
        <v>0</v>
      </c>
    </row>
    <row r="20" spans="2:26" ht="15.75" customHeight="1" x14ac:dyDescent="0.2">
      <c r="B20" s="83">
        <f t="shared" si="0"/>
        <v>6</v>
      </c>
      <c r="C20" s="861" t="s">
        <v>44</v>
      </c>
      <c r="D20" s="862" t="s">
        <v>721</v>
      </c>
      <c r="E20" s="863" t="s">
        <v>714</v>
      </c>
      <c r="F20" s="864" t="s">
        <v>715</v>
      </c>
      <c r="G20" s="862">
        <v>60136</v>
      </c>
      <c r="H20" s="862">
        <v>805001</v>
      </c>
      <c r="I20" s="865" t="s">
        <v>716</v>
      </c>
      <c r="J20" s="866">
        <v>500</v>
      </c>
      <c r="K20" s="867">
        <v>0</v>
      </c>
      <c r="L20" s="868">
        <f t="shared" si="1"/>
        <v>0</v>
      </c>
      <c r="M20" s="869"/>
      <c r="N20" s="870"/>
      <c r="O20" s="866">
        <v>500</v>
      </c>
      <c r="P20" s="862">
        <v>0</v>
      </c>
      <c r="Q20" s="868">
        <f t="shared" si="2"/>
        <v>0</v>
      </c>
      <c r="R20" s="868">
        <f t="shared" si="3"/>
        <v>0</v>
      </c>
      <c r="S20" s="874"/>
      <c r="T20" s="868">
        <f>IF(F20="Yes", O20*(1+#REF!), O20)</f>
        <v>500</v>
      </c>
      <c r="U20" s="872">
        <v>0</v>
      </c>
      <c r="V20" s="868">
        <f t="shared" si="4"/>
        <v>0</v>
      </c>
      <c r="W20" s="873">
        <f t="shared" si="5"/>
        <v>0</v>
      </c>
      <c r="X20" s="874"/>
      <c r="Y20" s="864"/>
      <c r="Z20" s="868">
        <v>0</v>
      </c>
    </row>
    <row r="21" spans="2:26" ht="15.75" customHeight="1" x14ac:dyDescent="0.2">
      <c r="B21" s="83">
        <f t="shared" si="0"/>
        <v>7</v>
      </c>
      <c r="C21" s="861" t="s">
        <v>44</v>
      </c>
      <c r="D21" s="862" t="s">
        <v>722</v>
      </c>
      <c r="E21" s="863" t="s">
        <v>714</v>
      </c>
      <c r="F21" s="864" t="s">
        <v>715</v>
      </c>
      <c r="G21" s="862">
        <v>60136</v>
      </c>
      <c r="H21" s="862">
        <v>805001</v>
      </c>
      <c r="I21" s="865" t="s">
        <v>716</v>
      </c>
      <c r="J21" s="866">
        <v>500</v>
      </c>
      <c r="K21" s="867">
        <v>2</v>
      </c>
      <c r="L21" s="868">
        <f t="shared" si="1"/>
        <v>1000</v>
      </c>
      <c r="M21" s="869">
        <v>1000</v>
      </c>
      <c r="N21" s="870"/>
      <c r="O21" s="866">
        <v>500</v>
      </c>
      <c r="P21" s="862">
        <v>0</v>
      </c>
      <c r="Q21" s="868">
        <f t="shared" si="2"/>
        <v>0</v>
      </c>
      <c r="R21" s="868">
        <f t="shared" si="3"/>
        <v>0</v>
      </c>
      <c r="S21" s="874"/>
      <c r="T21" s="868">
        <f>IF(F21="Yes", O21*(1+#REF!), O21)</f>
        <v>500</v>
      </c>
      <c r="U21" s="872">
        <v>0</v>
      </c>
      <c r="V21" s="868">
        <f t="shared" si="4"/>
        <v>0</v>
      </c>
      <c r="W21" s="873">
        <f t="shared" si="5"/>
        <v>0</v>
      </c>
      <c r="X21" s="874"/>
      <c r="Y21" s="864"/>
      <c r="Z21" s="868">
        <v>0</v>
      </c>
    </row>
    <row r="22" spans="2:26" ht="15.75" customHeight="1" x14ac:dyDescent="0.2">
      <c r="B22" s="83">
        <f t="shared" si="0"/>
        <v>8</v>
      </c>
      <c r="C22" s="861" t="s">
        <v>44</v>
      </c>
      <c r="D22" s="862" t="s">
        <v>723</v>
      </c>
      <c r="E22" s="863" t="s">
        <v>714</v>
      </c>
      <c r="F22" s="864" t="s">
        <v>715</v>
      </c>
      <c r="G22" s="862">
        <v>60136</v>
      </c>
      <c r="H22" s="862">
        <v>805001</v>
      </c>
      <c r="I22" s="865" t="s">
        <v>716</v>
      </c>
      <c r="J22" s="866">
        <v>500</v>
      </c>
      <c r="K22" s="867">
        <v>0</v>
      </c>
      <c r="L22" s="868">
        <f t="shared" si="1"/>
        <v>0</v>
      </c>
      <c r="M22" s="869"/>
      <c r="N22" s="870"/>
      <c r="O22" s="866">
        <v>500</v>
      </c>
      <c r="P22" s="862">
        <v>0</v>
      </c>
      <c r="Q22" s="868">
        <f t="shared" si="2"/>
        <v>0</v>
      </c>
      <c r="R22" s="868">
        <f t="shared" si="3"/>
        <v>0</v>
      </c>
      <c r="S22" s="874"/>
      <c r="T22" s="868">
        <f>IF(F22="Yes", O22*(1+#REF!), O22)</f>
        <v>500</v>
      </c>
      <c r="U22" s="872">
        <v>0</v>
      </c>
      <c r="V22" s="868">
        <f t="shared" si="4"/>
        <v>0</v>
      </c>
      <c r="W22" s="873">
        <f t="shared" si="5"/>
        <v>0</v>
      </c>
      <c r="X22" s="874"/>
      <c r="Y22" s="864"/>
      <c r="Z22" s="868">
        <v>0</v>
      </c>
    </row>
    <row r="23" spans="2:26" ht="15.75" customHeight="1" x14ac:dyDescent="0.2">
      <c r="B23" s="83">
        <f t="shared" si="0"/>
        <v>9</v>
      </c>
      <c r="C23" s="861" t="s">
        <v>44</v>
      </c>
      <c r="D23" s="862" t="s">
        <v>724</v>
      </c>
      <c r="E23" s="863" t="s">
        <v>714</v>
      </c>
      <c r="F23" s="864" t="s">
        <v>715</v>
      </c>
      <c r="G23" s="862">
        <v>60136</v>
      </c>
      <c r="H23" s="862">
        <v>805001</v>
      </c>
      <c r="I23" s="865" t="s">
        <v>716</v>
      </c>
      <c r="J23" s="866">
        <v>500</v>
      </c>
      <c r="K23" s="867">
        <v>3</v>
      </c>
      <c r="L23" s="868">
        <f t="shared" si="1"/>
        <v>1500</v>
      </c>
      <c r="M23" s="869">
        <v>1500</v>
      </c>
      <c r="N23" s="870"/>
      <c r="O23" s="866">
        <v>500</v>
      </c>
      <c r="P23" s="862">
        <v>0</v>
      </c>
      <c r="Q23" s="868">
        <f t="shared" si="2"/>
        <v>0</v>
      </c>
      <c r="R23" s="868">
        <f t="shared" si="3"/>
        <v>0</v>
      </c>
      <c r="S23" s="874"/>
      <c r="T23" s="868">
        <f>IF(F23="Yes", O23*(1+#REF!), O23)</f>
        <v>500</v>
      </c>
      <c r="U23" s="872">
        <v>0</v>
      </c>
      <c r="V23" s="868">
        <f t="shared" si="4"/>
        <v>0</v>
      </c>
      <c r="W23" s="873">
        <f t="shared" si="5"/>
        <v>0</v>
      </c>
      <c r="X23" s="874"/>
      <c r="Y23" s="864"/>
      <c r="Z23" s="868">
        <v>0</v>
      </c>
    </row>
    <row r="24" spans="2:26" ht="15.75" customHeight="1" x14ac:dyDescent="0.2">
      <c r="B24" s="83">
        <f t="shared" si="0"/>
        <v>10</v>
      </c>
      <c r="C24" s="861" t="s">
        <v>44</v>
      </c>
      <c r="D24" s="862" t="s">
        <v>725</v>
      </c>
      <c r="E24" s="863" t="s">
        <v>714</v>
      </c>
      <c r="F24" s="864" t="s">
        <v>715</v>
      </c>
      <c r="G24" s="862">
        <v>60136</v>
      </c>
      <c r="H24" s="862">
        <v>805001</v>
      </c>
      <c r="I24" s="865" t="s">
        <v>716</v>
      </c>
      <c r="J24" s="866">
        <v>500</v>
      </c>
      <c r="K24" s="867">
        <v>0</v>
      </c>
      <c r="L24" s="868">
        <f t="shared" si="1"/>
        <v>0</v>
      </c>
      <c r="M24" s="869"/>
      <c r="N24" s="870"/>
      <c r="O24" s="866">
        <v>500</v>
      </c>
      <c r="P24" s="862">
        <v>0</v>
      </c>
      <c r="Q24" s="868">
        <f t="shared" si="2"/>
        <v>0</v>
      </c>
      <c r="R24" s="868">
        <f t="shared" si="3"/>
        <v>0</v>
      </c>
      <c r="S24" s="874"/>
      <c r="T24" s="868">
        <f>IF(F24="Yes", O24*(1+#REF!), O24)</f>
        <v>500</v>
      </c>
      <c r="U24" s="872">
        <v>0</v>
      </c>
      <c r="V24" s="868">
        <f t="shared" si="4"/>
        <v>0</v>
      </c>
      <c r="W24" s="873">
        <f t="shared" si="5"/>
        <v>0</v>
      </c>
      <c r="X24" s="874"/>
      <c r="Y24" s="864"/>
      <c r="Z24" s="868">
        <v>0</v>
      </c>
    </row>
    <row r="25" spans="2:26" ht="15.75" customHeight="1" x14ac:dyDescent="0.2">
      <c r="B25" s="83">
        <f t="shared" si="0"/>
        <v>11</v>
      </c>
      <c r="C25" s="861" t="s">
        <v>44</v>
      </c>
      <c r="D25" s="862" t="s">
        <v>726</v>
      </c>
      <c r="E25" s="863" t="s">
        <v>714</v>
      </c>
      <c r="F25" s="864" t="s">
        <v>715</v>
      </c>
      <c r="G25" s="862">
        <v>60136</v>
      </c>
      <c r="H25" s="862">
        <v>805001</v>
      </c>
      <c r="I25" s="865" t="s">
        <v>716</v>
      </c>
      <c r="J25" s="866">
        <v>500</v>
      </c>
      <c r="K25" s="867">
        <v>1</v>
      </c>
      <c r="L25" s="868">
        <f t="shared" si="1"/>
        <v>500</v>
      </c>
      <c r="M25" s="869">
        <v>500</v>
      </c>
      <c r="N25" s="870"/>
      <c r="O25" s="866">
        <v>500</v>
      </c>
      <c r="P25" s="862">
        <v>0</v>
      </c>
      <c r="Q25" s="868">
        <f t="shared" si="2"/>
        <v>0</v>
      </c>
      <c r="R25" s="868">
        <f t="shared" si="3"/>
        <v>0</v>
      </c>
      <c r="S25" s="874"/>
      <c r="T25" s="868">
        <f>IF(F25="Yes", O25*(1+#REF!), O25)</f>
        <v>500</v>
      </c>
      <c r="U25" s="872">
        <v>0</v>
      </c>
      <c r="V25" s="868">
        <f t="shared" si="4"/>
        <v>0</v>
      </c>
      <c r="W25" s="873">
        <f t="shared" si="5"/>
        <v>0</v>
      </c>
      <c r="X25" s="874"/>
      <c r="Y25" s="864"/>
      <c r="Z25" s="868">
        <v>0</v>
      </c>
    </row>
    <row r="26" spans="2:26" ht="15.75" customHeight="1" x14ac:dyDescent="0.2">
      <c r="B26" s="83">
        <f t="shared" si="0"/>
        <v>12</v>
      </c>
      <c r="C26" s="861" t="s">
        <v>44</v>
      </c>
      <c r="D26" s="862" t="s">
        <v>727</v>
      </c>
      <c r="E26" s="863" t="s">
        <v>714</v>
      </c>
      <c r="F26" s="864" t="s">
        <v>715</v>
      </c>
      <c r="G26" s="862">
        <v>60136</v>
      </c>
      <c r="H26" s="862">
        <v>805001</v>
      </c>
      <c r="I26" s="865" t="s">
        <v>716</v>
      </c>
      <c r="J26" s="866">
        <v>500</v>
      </c>
      <c r="K26" s="867">
        <v>0</v>
      </c>
      <c r="L26" s="868">
        <f t="shared" si="1"/>
        <v>0</v>
      </c>
      <c r="M26" s="869"/>
      <c r="N26" s="870"/>
      <c r="O26" s="866">
        <v>500</v>
      </c>
      <c r="P26" s="862">
        <v>0</v>
      </c>
      <c r="Q26" s="868">
        <f t="shared" si="2"/>
        <v>0</v>
      </c>
      <c r="R26" s="868">
        <f t="shared" si="3"/>
        <v>0</v>
      </c>
      <c r="S26" s="874"/>
      <c r="T26" s="868">
        <f>IF(F26="Yes", O26*(1+#REF!), O26)</f>
        <v>500</v>
      </c>
      <c r="U26" s="872">
        <v>0</v>
      </c>
      <c r="V26" s="868">
        <f t="shared" si="4"/>
        <v>0</v>
      </c>
      <c r="W26" s="873">
        <f t="shared" si="5"/>
        <v>0</v>
      </c>
      <c r="X26" s="874"/>
      <c r="Y26" s="864"/>
      <c r="Z26" s="868">
        <v>0</v>
      </c>
    </row>
    <row r="27" spans="2:26" ht="15.75" customHeight="1" x14ac:dyDescent="0.2">
      <c r="B27" s="83">
        <f t="shared" si="0"/>
        <v>13</v>
      </c>
      <c r="C27" s="861" t="s">
        <v>44</v>
      </c>
      <c r="D27" s="862" t="s">
        <v>728</v>
      </c>
      <c r="E27" s="863" t="s">
        <v>714</v>
      </c>
      <c r="F27" s="864" t="s">
        <v>715</v>
      </c>
      <c r="G27" s="862">
        <v>60136</v>
      </c>
      <c r="H27" s="862">
        <v>805001</v>
      </c>
      <c r="I27" s="865" t="s">
        <v>716</v>
      </c>
      <c r="J27" s="866">
        <v>500</v>
      </c>
      <c r="K27" s="867">
        <v>1</v>
      </c>
      <c r="L27" s="868">
        <f t="shared" si="1"/>
        <v>500</v>
      </c>
      <c r="M27" s="869">
        <v>500</v>
      </c>
      <c r="N27" s="870"/>
      <c r="O27" s="866">
        <v>500</v>
      </c>
      <c r="P27" s="862">
        <v>0</v>
      </c>
      <c r="Q27" s="868">
        <f t="shared" si="2"/>
        <v>0</v>
      </c>
      <c r="R27" s="868">
        <f t="shared" si="3"/>
        <v>0</v>
      </c>
      <c r="S27" s="874"/>
      <c r="T27" s="868">
        <f>IF(F27="Yes", O27*(1+#REF!), O27)</f>
        <v>500</v>
      </c>
      <c r="U27" s="872">
        <v>0</v>
      </c>
      <c r="V27" s="868">
        <f t="shared" si="4"/>
        <v>0</v>
      </c>
      <c r="W27" s="873">
        <f t="shared" si="5"/>
        <v>0</v>
      </c>
      <c r="X27" s="874"/>
      <c r="Y27" s="864"/>
      <c r="Z27" s="868">
        <v>0</v>
      </c>
    </row>
    <row r="28" spans="2:26" ht="15.75" customHeight="1" x14ac:dyDescent="0.2">
      <c r="B28" s="83">
        <f t="shared" si="0"/>
        <v>14</v>
      </c>
      <c r="C28" s="861" t="s">
        <v>44</v>
      </c>
      <c r="D28" s="862" t="s">
        <v>729</v>
      </c>
      <c r="E28" s="863" t="s">
        <v>714</v>
      </c>
      <c r="F28" s="864" t="s">
        <v>715</v>
      </c>
      <c r="G28" s="862">
        <v>60136</v>
      </c>
      <c r="H28" s="862">
        <v>805001</v>
      </c>
      <c r="I28" s="865" t="s">
        <v>716</v>
      </c>
      <c r="J28" s="866">
        <v>5706</v>
      </c>
      <c r="K28" s="867">
        <v>0</v>
      </c>
      <c r="L28" s="868">
        <f t="shared" si="1"/>
        <v>0</v>
      </c>
      <c r="M28" s="869"/>
      <c r="N28" s="870"/>
      <c r="O28" s="866">
        <v>5860</v>
      </c>
      <c r="P28" s="862">
        <v>0</v>
      </c>
      <c r="Q28" s="868">
        <f t="shared" si="2"/>
        <v>0</v>
      </c>
      <c r="R28" s="868">
        <f t="shared" si="3"/>
        <v>0</v>
      </c>
      <c r="S28" s="874"/>
      <c r="T28" s="868">
        <f>IF(F28="Yes", O28*(1+#REF!), O28)</f>
        <v>5860</v>
      </c>
      <c r="U28" s="872">
        <v>0</v>
      </c>
      <c r="V28" s="868">
        <f t="shared" si="4"/>
        <v>0</v>
      </c>
      <c r="W28" s="873">
        <f t="shared" si="5"/>
        <v>0</v>
      </c>
      <c r="X28" s="874"/>
      <c r="Y28" s="864"/>
      <c r="Z28" s="868">
        <v>0</v>
      </c>
    </row>
    <row r="29" spans="2:26" ht="15.75" customHeight="1" x14ac:dyDescent="0.2">
      <c r="B29" s="83">
        <f t="shared" si="0"/>
        <v>15</v>
      </c>
      <c r="C29" s="861" t="s">
        <v>44</v>
      </c>
      <c r="D29" s="862" t="s">
        <v>730</v>
      </c>
      <c r="E29" s="863" t="s">
        <v>714</v>
      </c>
      <c r="F29" s="864" t="s">
        <v>715</v>
      </c>
      <c r="G29" s="862">
        <v>60136</v>
      </c>
      <c r="H29" s="862">
        <v>805001</v>
      </c>
      <c r="I29" s="865" t="s">
        <v>716</v>
      </c>
      <c r="J29" s="866">
        <v>5042</v>
      </c>
      <c r="K29" s="867">
        <v>3</v>
      </c>
      <c r="L29" s="868">
        <f t="shared" si="1"/>
        <v>15126</v>
      </c>
      <c r="M29" s="869">
        <v>5042</v>
      </c>
      <c r="N29" s="870"/>
      <c r="O29" s="866">
        <v>4819</v>
      </c>
      <c r="P29" s="862">
        <v>0</v>
      </c>
      <c r="Q29" s="868">
        <f t="shared" si="2"/>
        <v>0</v>
      </c>
      <c r="R29" s="868">
        <f t="shared" si="3"/>
        <v>0</v>
      </c>
      <c r="S29" s="874"/>
      <c r="T29" s="868">
        <f>IF(F29="Yes", O29*(1+#REF!), O29)</f>
        <v>4819</v>
      </c>
      <c r="U29" s="872">
        <v>0</v>
      </c>
      <c r="V29" s="868">
        <f t="shared" si="4"/>
        <v>0</v>
      </c>
      <c r="W29" s="873">
        <f t="shared" si="5"/>
        <v>0</v>
      </c>
      <c r="X29" s="874"/>
      <c r="Y29" s="864"/>
      <c r="Z29" s="868">
        <v>0</v>
      </c>
    </row>
    <row r="30" spans="2:26" ht="15.75" customHeight="1" x14ac:dyDescent="0.2">
      <c r="B30" s="83">
        <f t="shared" si="0"/>
        <v>16</v>
      </c>
      <c r="C30" s="861" t="s">
        <v>44</v>
      </c>
      <c r="D30" s="862" t="s">
        <v>731</v>
      </c>
      <c r="E30" s="863" t="s">
        <v>714</v>
      </c>
      <c r="F30" s="864" t="s">
        <v>715</v>
      </c>
      <c r="G30" s="862">
        <v>60136</v>
      </c>
      <c r="H30" s="862">
        <v>805001</v>
      </c>
      <c r="I30" s="865" t="s">
        <v>716</v>
      </c>
      <c r="J30" s="866">
        <v>4370</v>
      </c>
      <c r="K30" s="867">
        <v>3</v>
      </c>
      <c r="L30" s="868">
        <f t="shared" si="1"/>
        <v>13110</v>
      </c>
      <c r="M30" s="869">
        <v>12020.5</v>
      </c>
      <c r="N30" s="870"/>
      <c r="O30" s="866">
        <v>4489</v>
      </c>
      <c r="P30" s="862">
        <v>0</v>
      </c>
      <c r="Q30" s="868">
        <f t="shared" si="2"/>
        <v>0</v>
      </c>
      <c r="R30" s="868">
        <f t="shared" si="3"/>
        <v>0</v>
      </c>
      <c r="S30" s="874"/>
      <c r="T30" s="868">
        <f>IF(F30="Yes", O30*(1+#REF!), O30)</f>
        <v>4489</v>
      </c>
      <c r="U30" s="872">
        <v>0</v>
      </c>
      <c r="V30" s="868">
        <f t="shared" si="4"/>
        <v>0</v>
      </c>
      <c r="W30" s="873">
        <f t="shared" si="5"/>
        <v>0</v>
      </c>
      <c r="X30" s="874"/>
      <c r="Y30" s="864"/>
      <c r="Z30" s="868">
        <v>0</v>
      </c>
    </row>
    <row r="31" spans="2:26" ht="15.75" customHeight="1" x14ac:dyDescent="0.2">
      <c r="B31" s="83">
        <f t="shared" si="0"/>
        <v>17</v>
      </c>
      <c r="C31" s="861" t="s">
        <v>44</v>
      </c>
      <c r="D31" s="862" t="s">
        <v>732</v>
      </c>
      <c r="E31" s="863" t="s">
        <v>714</v>
      </c>
      <c r="F31" s="864" t="s">
        <v>715</v>
      </c>
      <c r="G31" s="862">
        <v>60136</v>
      </c>
      <c r="H31" s="862">
        <v>805001</v>
      </c>
      <c r="I31" s="865" t="s">
        <v>716</v>
      </c>
      <c r="J31" s="866">
        <v>4692</v>
      </c>
      <c r="K31" s="867">
        <v>1</v>
      </c>
      <c r="L31" s="868">
        <f t="shared" si="1"/>
        <v>4692</v>
      </c>
      <c r="M31" s="869">
        <v>4692</v>
      </c>
      <c r="N31" s="870"/>
      <c r="O31" s="866">
        <v>4819</v>
      </c>
      <c r="P31" s="862">
        <v>0</v>
      </c>
      <c r="Q31" s="868">
        <f t="shared" si="2"/>
        <v>0</v>
      </c>
      <c r="R31" s="868">
        <f t="shared" si="3"/>
        <v>0</v>
      </c>
      <c r="S31" s="874"/>
      <c r="T31" s="868">
        <f>IF(F31="Yes", O31*(1+#REF!), O31)</f>
        <v>4819</v>
      </c>
      <c r="U31" s="872">
        <v>0</v>
      </c>
      <c r="V31" s="868">
        <f t="shared" si="4"/>
        <v>0</v>
      </c>
      <c r="W31" s="873">
        <f t="shared" si="5"/>
        <v>0</v>
      </c>
      <c r="X31" s="874"/>
      <c r="Y31" s="864"/>
      <c r="Z31" s="868">
        <v>0</v>
      </c>
    </row>
    <row r="32" spans="2:26" ht="15.75" customHeight="1" x14ac:dyDescent="0.2">
      <c r="B32" s="83">
        <f t="shared" si="0"/>
        <v>18</v>
      </c>
      <c r="C32" s="861" t="s">
        <v>44</v>
      </c>
      <c r="D32" s="862" t="s">
        <v>733</v>
      </c>
      <c r="E32" s="863" t="s">
        <v>714</v>
      </c>
      <c r="F32" s="864" t="s">
        <v>715</v>
      </c>
      <c r="G32" s="862">
        <v>60136</v>
      </c>
      <c r="H32" s="862">
        <v>805001</v>
      </c>
      <c r="I32" s="865" t="s">
        <v>716</v>
      </c>
      <c r="J32" s="866">
        <v>3551</v>
      </c>
      <c r="K32" s="867">
        <v>1</v>
      </c>
      <c r="L32" s="868">
        <f t="shared" si="1"/>
        <v>3551</v>
      </c>
      <c r="M32" s="869">
        <v>3551</v>
      </c>
      <c r="N32" s="870"/>
      <c r="O32" s="866">
        <v>3647</v>
      </c>
      <c r="P32" s="862">
        <v>0</v>
      </c>
      <c r="Q32" s="868">
        <f t="shared" si="2"/>
        <v>0</v>
      </c>
      <c r="R32" s="868">
        <f t="shared" si="3"/>
        <v>0</v>
      </c>
      <c r="S32" s="875"/>
      <c r="T32" s="868">
        <f>IF(F32="Yes", O32*(1+#REF!), O32)</f>
        <v>3647</v>
      </c>
      <c r="U32" s="872">
        <v>0</v>
      </c>
      <c r="V32" s="868">
        <f t="shared" si="4"/>
        <v>0</v>
      </c>
      <c r="W32" s="873">
        <f t="shared" si="5"/>
        <v>0</v>
      </c>
      <c r="X32" s="875"/>
      <c r="Y32" s="864"/>
      <c r="Z32" s="868">
        <v>0</v>
      </c>
    </row>
    <row r="33" spans="2:26" ht="15.75" customHeight="1" x14ac:dyDescent="0.2">
      <c r="B33" s="83">
        <f t="shared" si="0"/>
        <v>19</v>
      </c>
      <c r="C33" s="861" t="s">
        <v>44</v>
      </c>
      <c r="D33" s="862" t="s">
        <v>734</v>
      </c>
      <c r="E33" s="863" t="s">
        <v>714</v>
      </c>
      <c r="F33" s="864" t="s">
        <v>715</v>
      </c>
      <c r="G33" s="862">
        <v>60136</v>
      </c>
      <c r="H33" s="862">
        <v>805001</v>
      </c>
      <c r="I33" s="865" t="s">
        <v>716</v>
      </c>
      <c r="J33" s="866">
        <v>3643.5</v>
      </c>
      <c r="K33" s="867">
        <v>0</v>
      </c>
      <c r="L33" s="868">
        <f t="shared" si="1"/>
        <v>0</v>
      </c>
      <c r="M33" s="869"/>
      <c r="N33" s="870"/>
      <c r="O33" s="866">
        <v>3742</v>
      </c>
      <c r="P33" s="862">
        <v>0</v>
      </c>
      <c r="Q33" s="868">
        <f t="shared" si="2"/>
        <v>0</v>
      </c>
      <c r="R33" s="868">
        <f t="shared" si="3"/>
        <v>0</v>
      </c>
      <c r="S33" s="875"/>
      <c r="T33" s="868">
        <f>IF(F33="Yes", O33*(1+#REF!), O33)</f>
        <v>3742</v>
      </c>
      <c r="U33" s="872">
        <v>0</v>
      </c>
      <c r="V33" s="868">
        <f t="shared" si="4"/>
        <v>0</v>
      </c>
      <c r="W33" s="873">
        <f t="shared" si="5"/>
        <v>0</v>
      </c>
      <c r="X33" s="875"/>
      <c r="Y33" s="864"/>
      <c r="Z33" s="868">
        <v>0</v>
      </c>
    </row>
    <row r="34" spans="2:26" ht="15.75" customHeight="1" x14ac:dyDescent="0.2">
      <c r="B34" s="83">
        <f t="shared" si="0"/>
        <v>20</v>
      </c>
      <c r="C34" s="861" t="s">
        <v>44</v>
      </c>
      <c r="D34" s="862" t="s">
        <v>735</v>
      </c>
      <c r="E34" s="863" t="s">
        <v>714</v>
      </c>
      <c r="F34" s="864" t="s">
        <v>715</v>
      </c>
      <c r="G34" s="862">
        <v>60136</v>
      </c>
      <c r="H34" s="862">
        <v>805001</v>
      </c>
      <c r="I34" s="865" t="s">
        <v>716</v>
      </c>
      <c r="J34" s="866">
        <v>4562</v>
      </c>
      <c r="K34" s="867">
        <v>0</v>
      </c>
      <c r="L34" s="868">
        <f t="shared" si="1"/>
        <v>0</v>
      </c>
      <c r="M34" s="869"/>
      <c r="N34" s="870"/>
      <c r="O34" s="866">
        <v>4686</v>
      </c>
      <c r="P34" s="862">
        <v>0</v>
      </c>
      <c r="Q34" s="868">
        <f t="shared" si="2"/>
        <v>0</v>
      </c>
      <c r="R34" s="868">
        <f t="shared" si="3"/>
        <v>0</v>
      </c>
      <c r="S34" s="875"/>
      <c r="T34" s="868">
        <f>IF(F34="Yes", O34*(1+#REF!), O34)</f>
        <v>4686</v>
      </c>
      <c r="U34" s="872">
        <v>0</v>
      </c>
      <c r="V34" s="868">
        <f t="shared" si="4"/>
        <v>0</v>
      </c>
      <c r="W34" s="873">
        <f t="shared" si="5"/>
        <v>0</v>
      </c>
      <c r="X34" s="875"/>
      <c r="Y34" s="864"/>
      <c r="Z34" s="868">
        <v>0</v>
      </c>
    </row>
    <row r="35" spans="2:26" ht="15.75" customHeight="1" x14ac:dyDescent="0.2">
      <c r="B35" s="83">
        <f t="shared" si="0"/>
        <v>21</v>
      </c>
      <c r="C35" s="861" t="s">
        <v>44</v>
      </c>
      <c r="D35" s="862" t="s">
        <v>736</v>
      </c>
      <c r="E35" s="863" t="s">
        <v>737</v>
      </c>
      <c r="F35" s="864" t="s">
        <v>715</v>
      </c>
      <c r="G35" s="862">
        <v>60136</v>
      </c>
      <c r="H35" s="862">
        <v>805001</v>
      </c>
      <c r="I35" s="865" t="s">
        <v>716</v>
      </c>
      <c r="J35" s="866">
        <v>1813</v>
      </c>
      <c r="K35" s="867">
        <v>3</v>
      </c>
      <c r="L35" s="868">
        <f t="shared" si="1"/>
        <v>5439</v>
      </c>
      <c r="M35" s="869">
        <f>J35*K35</f>
        <v>5439</v>
      </c>
      <c r="N35" s="870"/>
      <c r="O35" s="866">
        <v>1890</v>
      </c>
      <c r="P35" s="862">
        <v>0</v>
      </c>
      <c r="Q35" s="868">
        <f t="shared" si="2"/>
        <v>0</v>
      </c>
      <c r="R35" s="868">
        <f t="shared" si="3"/>
        <v>0</v>
      </c>
      <c r="S35" s="874"/>
      <c r="T35" s="868">
        <f>IF(F35="Yes", O35*(1+#REF!), O35)</f>
        <v>1890</v>
      </c>
      <c r="U35" s="863">
        <v>13</v>
      </c>
      <c r="V35" s="868">
        <f t="shared" si="4"/>
        <v>24570</v>
      </c>
      <c r="W35" s="873">
        <f t="shared" si="5"/>
        <v>24570</v>
      </c>
      <c r="X35" s="874"/>
      <c r="Y35" s="864"/>
      <c r="Z35" s="868">
        <v>0</v>
      </c>
    </row>
    <row r="36" spans="2:26" ht="15.75" customHeight="1" x14ac:dyDescent="0.2">
      <c r="B36" s="83">
        <f t="shared" si="0"/>
        <v>22</v>
      </c>
      <c r="C36" s="861" t="s">
        <v>44</v>
      </c>
      <c r="D36" s="862" t="s">
        <v>738</v>
      </c>
      <c r="E36" s="863" t="s">
        <v>739</v>
      </c>
      <c r="F36" s="864" t="s">
        <v>715</v>
      </c>
      <c r="G36" s="862">
        <v>60136</v>
      </c>
      <c r="H36" s="862">
        <v>805001</v>
      </c>
      <c r="I36" s="865" t="s">
        <v>740</v>
      </c>
      <c r="J36" s="866">
        <v>2710</v>
      </c>
      <c r="K36" s="867">
        <v>0</v>
      </c>
      <c r="L36" s="868">
        <f t="shared" si="1"/>
        <v>0</v>
      </c>
      <c r="M36" s="869"/>
      <c r="N36" s="870"/>
      <c r="O36" s="866">
        <v>2710</v>
      </c>
      <c r="P36" s="862">
        <v>0</v>
      </c>
      <c r="Q36" s="868">
        <f t="shared" si="2"/>
        <v>0</v>
      </c>
      <c r="R36" s="868">
        <f t="shared" si="3"/>
        <v>0</v>
      </c>
      <c r="S36" s="874"/>
      <c r="T36" s="868">
        <f>IF(F36="Yes", O36*(1+#REF!), O36)</f>
        <v>2710</v>
      </c>
      <c r="U36" s="863">
        <v>2</v>
      </c>
      <c r="V36" s="868">
        <f t="shared" si="4"/>
        <v>5420</v>
      </c>
      <c r="W36" s="873">
        <f t="shared" si="5"/>
        <v>5420</v>
      </c>
      <c r="X36" s="874"/>
      <c r="Y36" s="864"/>
      <c r="Z36" s="868">
        <v>0</v>
      </c>
    </row>
    <row r="37" spans="2:26" ht="15.75" customHeight="1" x14ac:dyDescent="0.2">
      <c r="B37" s="83">
        <f t="shared" si="0"/>
        <v>23</v>
      </c>
      <c r="C37" s="861" t="s">
        <v>44</v>
      </c>
      <c r="D37" s="862" t="s">
        <v>741</v>
      </c>
      <c r="E37" s="863" t="s">
        <v>739</v>
      </c>
      <c r="F37" s="864" t="s">
        <v>715</v>
      </c>
      <c r="G37" s="862">
        <v>60136</v>
      </c>
      <c r="H37" s="862">
        <v>805001</v>
      </c>
      <c r="I37" s="865" t="s">
        <v>740</v>
      </c>
      <c r="J37" s="866">
        <v>1820</v>
      </c>
      <c r="K37" s="867">
        <v>2</v>
      </c>
      <c r="L37" s="868">
        <f t="shared" si="1"/>
        <v>3640</v>
      </c>
      <c r="M37" s="869">
        <f>J37*K37</f>
        <v>3640</v>
      </c>
      <c r="N37" s="870"/>
      <c r="O37" s="866">
        <v>1572</v>
      </c>
      <c r="P37" s="862">
        <v>2</v>
      </c>
      <c r="Q37" s="868">
        <f>O37*P37</f>
        <v>3144</v>
      </c>
      <c r="R37" s="868">
        <f>Q37</f>
        <v>3144</v>
      </c>
      <c r="S37" s="874"/>
      <c r="T37" s="868">
        <f>IF(F37="Yes", O37*(1+#REF!), O37)</f>
        <v>1572</v>
      </c>
      <c r="U37" s="863">
        <v>1</v>
      </c>
      <c r="V37" s="868">
        <f t="shared" si="4"/>
        <v>1572</v>
      </c>
      <c r="W37" s="873">
        <f t="shared" si="5"/>
        <v>1572</v>
      </c>
      <c r="X37" s="874"/>
      <c r="Y37" s="864"/>
      <c r="Z37" s="868">
        <v>0</v>
      </c>
    </row>
    <row r="38" spans="2:26" ht="15.75" customHeight="1" x14ac:dyDescent="0.2">
      <c r="B38" s="83">
        <f t="shared" si="0"/>
        <v>24</v>
      </c>
      <c r="C38" s="861" t="s">
        <v>44</v>
      </c>
      <c r="D38" s="862" t="s">
        <v>742</v>
      </c>
      <c r="E38" s="863" t="s">
        <v>739</v>
      </c>
      <c r="F38" s="864" t="s">
        <v>715</v>
      </c>
      <c r="G38" s="862">
        <v>60136</v>
      </c>
      <c r="H38" s="862">
        <v>805001</v>
      </c>
      <c r="I38" s="865" t="s">
        <v>740</v>
      </c>
      <c r="J38" s="866">
        <v>1335</v>
      </c>
      <c r="K38" s="867">
        <v>2</v>
      </c>
      <c r="L38" s="868">
        <f t="shared" si="1"/>
        <v>2670</v>
      </c>
      <c r="M38" s="869">
        <f>J38*K38</f>
        <v>2670</v>
      </c>
      <c r="N38" s="870"/>
      <c r="O38" s="866">
        <v>1138</v>
      </c>
      <c r="P38" s="862">
        <v>2</v>
      </c>
      <c r="Q38" s="868">
        <f t="shared" si="2"/>
        <v>2276</v>
      </c>
      <c r="R38" s="868">
        <f t="shared" si="3"/>
        <v>2276</v>
      </c>
      <c r="S38" s="874"/>
      <c r="T38" s="868">
        <f>IF(F38="Yes", O38*(1+#REF!), O38)</f>
        <v>1138</v>
      </c>
      <c r="U38" s="863">
        <v>1</v>
      </c>
      <c r="V38" s="868">
        <f t="shared" si="4"/>
        <v>1138</v>
      </c>
      <c r="W38" s="873">
        <f t="shared" si="5"/>
        <v>1138</v>
      </c>
      <c r="X38" s="874"/>
      <c r="Y38" s="864"/>
      <c r="Z38" s="868">
        <v>0</v>
      </c>
    </row>
    <row r="39" spans="2:26" ht="15.75" customHeight="1" x14ac:dyDescent="0.2">
      <c r="B39" s="83">
        <f t="shared" si="0"/>
        <v>25</v>
      </c>
      <c r="C39" s="861" t="s">
        <v>44</v>
      </c>
      <c r="D39" s="862" t="s">
        <v>743</v>
      </c>
      <c r="E39" s="863" t="s">
        <v>739</v>
      </c>
      <c r="F39" s="864" t="s">
        <v>715</v>
      </c>
      <c r="G39" s="862">
        <v>60136</v>
      </c>
      <c r="H39" s="862">
        <v>805001</v>
      </c>
      <c r="I39" s="865" t="s">
        <v>740</v>
      </c>
      <c r="J39" s="866">
        <v>3155</v>
      </c>
      <c r="K39" s="867">
        <v>1</v>
      </c>
      <c r="L39" s="868">
        <f t="shared" si="1"/>
        <v>3155</v>
      </c>
      <c r="M39" s="869">
        <f>J39*K39</f>
        <v>3155</v>
      </c>
      <c r="N39" s="870"/>
      <c r="O39" s="866">
        <v>2710</v>
      </c>
      <c r="P39" s="862">
        <v>1</v>
      </c>
      <c r="Q39" s="868">
        <f t="shared" si="2"/>
        <v>2710</v>
      </c>
      <c r="R39" s="868">
        <f t="shared" si="3"/>
        <v>2710</v>
      </c>
      <c r="S39" s="875"/>
      <c r="T39" s="868">
        <f>IF(F39="Yes", O39*(1+#REF!), O39)</f>
        <v>2710</v>
      </c>
      <c r="U39" s="863">
        <v>0</v>
      </c>
      <c r="V39" s="868">
        <f t="shared" si="4"/>
        <v>0</v>
      </c>
      <c r="W39" s="873">
        <f t="shared" si="5"/>
        <v>0</v>
      </c>
      <c r="X39" s="875"/>
      <c r="Y39" s="864"/>
      <c r="Z39" s="868">
        <v>0</v>
      </c>
    </row>
    <row r="40" spans="2:26" ht="15.75" customHeight="1" x14ac:dyDescent="0.2">
      <c r="B40" s="83">
        <f t="shared" si="0"/>
        <v>26</v>
      </c>
      <c r="C40" s="861" t="s">
        <v>44</v>
      </c>
      <c r="D40" s="862" t="s">
        <v>744</v>
      </c>
      <c r="E40" s="863" t="s">
        <v>739</v>
      </c>
      <c r="F40" s="864" t="s">
        <v>715</v>
      </c>
      <c r="G40" s="862">
        <v>60136</v>
      </c>
      <c r="H40" s="862">
        <v>805001</v>
      </c>
      <c r="I40" s="865" t="s">
        <v>740</v>
      </c>
      <c r="J40" s="866">
        <v>2791</v>
      </c>
      <c r="K40" s="867">
        <v>5</v>
      </c>
      <c r="L40" s="868">
        <f t="shared" si="1"/>
        <v>13955</v>
      </c>
      <c r="M40" s="869">
        <f>J40*K40</f>
        <v>13955</v>
      </c>
      <c r="N40" s="870"/>
      <c r="O40" s="866">
        <v>2384</v>
      </c>
      <c r="P40" s="862">
        <v>2</v>
      </c>
      <c r="Q40" s="868">
        <f t="shared" si="2"/>
        <v>4768</v>
      </c>
      <c r="R40" s="868">
        <f t="shared" si="3"/>
        <v>4768</v>
      </c>
      <c r="S40" s="875"/>
      <c r="T40" s="868">
        <f>IF(F40="Yes", O40*(1+#REF!), O40)</f>
        <v>2384</v>
      </c>
      <c r="U40" s="863">
        <v>2</v>
      </c>
      <c r="V40" s="868">
        <f t="shared" si="4"/>
        <v>4768</v>
      </c>
      <c r="W40" s="873">
        <f t="shared" si="5"/>
        <v>4768</v>
      </c>
      <c r="X40" s="875"/>
      <c r="Y40" s="864"/>
      <c r="Z40" s="868">
        <v>0</v>
      </c>
    </row>
    <row r="41" spans="2:26" ht="15.75" customHeight="1" x14ac:dyDescent="0.2">
      <c r="B41" s="83">
        <f t="shared" si="0"/>
        <v>27</v>
      </c>
      <c r="C41" s="861" t="s">
        <v>44</v>
      </c>
      <c r="D41" s="862" t="s">
        <v>745</v>
      </c>
      <c r="E41" s="863" t="s">
        <v>739</v>
      </c>
      <c r="F41" s="864" t="s">
        <v>715</v>
      </c>
      <c r="G41" s="862">
        <v>60136</v>
      </c>
      <c r="H41" s="862">
        <v>805001</v>
      </c>
      <c r="I41" s="865" t="s">
        <v>740</v>
      </c>
      <c r="J41" s="866">
        <v>364</v>
      </c>
      <c r="K41" s="867">
        <v>1</v>
      </c>
      <c r="L41" s="868">
        <f t="shared" si="1"/>
        <v>364</v>
      </c>
      <c r="M41" s="869">
        <f>J41*K41</f>
        <v>364</v>
      </c>
      <c r="N41" s="870"/>
      <c r="O41" s="866">
        <v>325</v>
      </c>
      <c r="P41" s="862">
        <v>1</v>
      </c>
      <c r="Q41" s="868">
        <f t="shared" si="2"/>
        <v>325</v>
      </c>
      <c r="R41" s="868">
        <f t="shared" si="3"/>
        <v>325</v>
      </c>
      <c r="S41" s="875"/>
      <c r="T41" s="868">
        <f>IF(F41="Yes", O41*(1+#REF!), O41)</f>
        <v>325</v>
      </c>
      <c r="U41" s="863">
        <v>1</v>
      </c>
      <c r="V41" s="868">
        <f t="shared" si="4"/>
        <v>325</v>
      </c>
      <c r="W41" s="873">
        <f t="shared" si="5"/>
        <v>325</v>
      </c>
      <c r="X41" s="875"/>
      <c r="Y41" s="864"/>
      <c r="Z41" s="868">
        <v>0</v>
      </c>
    </row>
    <row r="42" spans="2:26" ht="15.75" customHeight="1" x14ac:dyDescent="0.2">
      <c r="B42" s="83">
        <f t="shared" si="0"/>
        <v>28</v>
      </c>
      <c r="C42" s="861" t="s">
        <v>44</v>
      </c>
      <c r="D42" s="862" t="s">
        <v>746</v>
      </c>
      <c r="E42" s="863" t="s">
        <v>747</v>
      </c>
      <c r="F42" s="864" t="s">
        <v>715</v>
      </c>
      <c r="G42" s="862">
        <v>60136</v>
      </c>
      <c r="H42" s="862">
        <v>805001</v>
      </c>
      <c r="I42" s="865" t="s">
        <v>740</v>
      </c>
      <c r="J42" s="866">
        <v>750</v>
      </c>
      <c r="K42" s="867">
        <v>0</v>
      </c>
      <c r="L42" s="868">
        <f t="shared" si="1"/>
        <v>0</v>
      </c>
      <c r="M42" s="869"/>
      <c r="N42" s="870"/>
      <c r="O42" s="866">
        <v>750</v>
      </c>
      <c r="P42" s="862">
        <v>2</v>
      </c>
      <c r="Q42" s="868">
        <f t="shared" si="2"/>
        <v>1500</v>
      </c>
      <c r="R42" s="868">
        <f t="shared" si="3"/>
        <v>1500</v>
      </c>
      <c r="S42" s="874"/>
      <c r="T42" s="868">
        <f>IF(F42="Yes", O42*(1+#REF!), O42)</f>
        <v>750</v>
      </c>
      <c r="U42" s="863">
        <v>0</v>
      </c>
      <c r="V42" s="868">
        <f t="shared" si="4"/>
        <v>0</v>
      </c>
      <c r="W42" s="873">
        <f t="shared" si="5"/>
        <v>0</v>
      </c>
      <c r="X42" s="874"/>
      <c r="Y42" s="864"/>
      <c r="Z42" s="868">
        <v>0</v>
      </c>
    </row>
    <row r="43" spans="2:26" ht="15.75" customHeight="1" x14ac:dyDescent="0.2">
      <c r="B43" s="83">
        <f t="shared" si="0"/>
        <v>29</v>
      </c>
      <c r="C43" s="861" t="s">
        <v>44</v>
      </c>
      <c r="D43" s="862" t="s">
        <v>748</v>
      </c>
      <c r="E43" s="863" t="s">
        <v>747</v>
      </c>
      <c r="F43" s="864" t="s">
        <v>715</v>
      </c>
      <c r="G43" s="862">
        <v>60136</v>
      </c>
      <c r="H43" s="862">
        <v>805001</v>
      </c>
      <c r="I43" s="865" t="s">
        <v>740</v>
      </c>
      <c r="J43" s="866">
        <v>750</v>
      </c>
      <c r="K43" s="867">
        <v>0</v>
      </c>
      <c r="L43" s="868">
        <f t="shared" si="1"/>
        <v>0</v>
      </c>
      <c r="M43" s="869"/>
      <c r="N43" s="870"/>
      <c r="O43" s="866">
        <v>750</v>
      </c>
      <c r="P43" s="862"/>
      <c r="Q43" s="868">
        <f t="shared" si="2"/>
        <v>0</v>
      </c>
      <c r="R43" s="868">
        <f t="shared" si="3"/>
        <v>0</v>
      </c>
      <c r="S43" s="874"/>
      <c r="T43" s="868">
        <f>IF(F43="Yes", O43*(1+#REF!), O43)</f>
        <v>750</v>
      </c>
      <c r="U43" s="863">
        <v>0</v>
      </c>
      <c r="V43" s="868">
        <f t="shared" si="4"/>
        <v>0</v>
      </c>
      <c r="W43" s="873">
        <f t="shared" si="5"/>
        <v>0</v>
      </c>
      <c r="X43" s="874"/>
      <c r="Y43" s="864"/>
      <c r="Z43" s="868">
        <v>0</v>
      </c>
    </row>
    <row r="44" spans="2:26" ht="15.75" customHeight="1" x14ac:dyDescent="0.2">
      <c r="B44" s="83">
        <f t="shared" si="0"/>
        <v>30</v>
      </c>
      <c r="C44" s="861" t="s">
        <v>44</v>
      </c>
      <c r="D44" s="862" t="s">
        <v>749</v>
      </c>
      <c r="E44" s="863" t="s">
        <v>747</v>
      </c>
      <c r="F44" s="864" t="s">
        <v>715</v>
      </c>
      <c r="G44" s="862">
        <v>60136</v>
      </c>
      <c r="H44" s="862">
        <v>805001</v>
      </c>
      <c r="I44" s="865" t="s">
        <v>740</v>
      </c>
      <c r="J44" s="866">
        <v>750</v>
      </c>
      <c r="K44" s="867">
        <v>0</v>
      </c>
      <c r="L44" s="868">
        <f t="shared" si="1"/>
        <v>0</v>
      </c>
      <c r="M44" s="869"/>
      <c r="N44" s="870"/>
      <c r="O44" s="866">
        <v>750</v>
      </c>
      <c r="P44" s="862">
        <v>2</v>
      </c>
      <c r="Q44" s="868">
        <f t="shared" si="2"/>
        <v>1500</v>
      </c>
      <c r="R44" s="868">
        <f t="shared" si="3"/>
        <v>1500</v>
      </c>
      <c r="S44" s="875"/>
      <c r="T44" s="868">
        <f>IF(F44="Yes", O44*(1+#REF!), O44)</f>
        <v>750</v>
      </c>
      <c r="U44" s="863">
        <v>0</v>
      </c>
      <c r="V44" s="868">
        <f t="shared" si="4"/>
        <v>0</v>
      </c>
      <c r="W44" s="873">
        <f t="shared" si="5"/>
        <v>0</v>
      </c>
      <c r="X44" s="875"/>
      <c r="Y44" s="864"/>
      <c r="Z44" s="868">
        <v>0</v>
      </c>
    </row>
    <row r="45" spans="2:26" ht="15.75" customHeight="1" x14ac:dyDescent="0.2">
      <c r="B45" s="83">
        <f t="shared" si="0"/>
        <v>31</v>
      </c>
      <c r="C45" s="861" t="s">
        <v>44</v>
      </c>
      <c r="D45" s="862" t="s">
        <v>750</v>
      </c>
      <c r="E45" s="863" t="s">
        <v>751</v>
      </c>
      <c r="F45" s="864" t="s">
        <v>715</v>
      </c>
      <c r="G45" s="862">
        <v>60149</v>
      </c>
      <c r="H45" s="862">
        <v>805001</v>
      </c>
      <c r="I45" s="865" t="s">
        <v>752</v>
      </c>
      <c r="J45" s="868">
        <v>200</v>
      </c>
      <c r="K45" s="867">
        <v>250</v>
      </c>
      <c r="L45" s="866">
        <f t="shared" si="1"/>
        <v>50000</v>
      </c>
      <c r="M45" s="876">
        <v>120000</v>
      </c>
      <c r="N45" s="870"/>
      <c r="O45" s="866">
        <v>200</v>
      </c>
      <c r="P45" s="862">
        <v>125</v>
      </c>
      <c r="Q45" s="868">
        <f>O45*P45</f>
        <v>25000</v>
      </c>
      <c r="R45" s="868">
        <f t="shared" si="3"/>
        <v>25000</v>
      </c>
      <c r="S45" s="875"/>
      <c r="T45" s="868">
        <f>IF(F45="Yes", O45*(1+#REF!), O45)</f>
        <v>200</v>
      </c>
      <c r="U45" s="863">
        <v>30</v>
      </c>
      <c r="V45" s="868">
        <f t="shared" si="4"/>
        <v>6000</v>
      </c>
      <c r="W45" s="873">
        <f t="shared" si="5"/>
        <v>6000</v>
      </c>
      <c r="X45" s="875"/>
      <c r="Y45" s="864"/>
      <c r="Z45" s="868">
        <v>0</v>
      </c>
    </row>
    <row r="46" spans="2:26" x14ac:dyDescent="0.2">
      <c r="B46" s="83">
        <f t="shared" si="0"/>
        <v>32</v>
      </c>
      <c r="C46" s="861" t="s">
        <v>44</v>
      </c>
      <c r="D46" s="862" t="s">
        <v>753</v>
      </c>
      <c r="E46" s="863" t="s">
        <v>754</v>
      </c>
      <c r="F46" s="864" t="s">
        <v>715</v>
      </c>
      <c r="G46" s="862">
        <v>60199</v>
      </c>
      <c r="H46" s="862">
        <v>805001</v>
      </c>
      <c r="I46" s="865" t="s">
        <v>755</v>
      </c>
      <c r="J46" s="866">
        <v>200</v>
      </c>
      <c r="K46" s="867">
        <v>1</v>
      </c>
      <c r="L46" s="866">
        <f>J46*K46</f>
        <v>200</v>
      </c>
      <c r="M46" s="869">
        <f>J46*K46</f>
        <v>200</v>
      </c>
      <c r="N46" s="870"/>
      <c r="O46" s="866">
        <v>200</v>
      </c>
      <c r="P46" s="862">
        <v>2</v>
      </c>
      <c r="Q46" s="866">
        <f t="shared" si="2"/>
        <v>400</v>
      </c>
      <c r="R46" s="868">
        <f t="shared" si="3"/>
        <v>400</v>
      </c>
      <c r="S46" s="875"/>
      <c r="T46" s="868">
        <f>IF(F46="Yes", O46*(1+#REF!), O46)</f>
        <v>200</v>
      </c>
      <c r="U46" s="863">
        <v>1</v>
      </c>
      <c r="V46" s="868">
        <f t="shared" si="4"/>
        <v>200</v>
      </c>
      <c r="W46" s="873">
        <f t="shared" si="5"/>
        <v>200</v>
      </c>
      <c r="X46" s="875"/>
      <c r="Y46" s="864"/>
      <c r="Z46" s="868">
        <v>0</v>
      </c>
    </row>
    <row r="47" spans="2:26" x14ac:dyDescent="0.2">
      <c r="B47" s="83">
        <f t="shared" si="0"/>
        <v>33</v>
      </c>
      <c r="C47" s="861" t="s">
        <v>44</v>
      </c>
      <c r="D47" s="862" t="s">
        <v>756</v>
      </c>
      <c r="E47" s="863" t="s">
        <v>754</v>
      </c>
      <c r="F47" s="864" t="s">
        <v>715</v>
      </c>
      <c r="G47" s="862">
        <v>60199</v>
      </c>
      <c r="H47" s="862">
        <v>805001</v>
      </c>
      <c r="I47" s="865" t="s">
        <v>755</v>
      </c>
      <c r="J47" s="866">
        <v>200</v>
      </c>
      <c r="K47" s="867">
        <v>3</v>
      </c>
      <c r="L47" s="866">
        <f t="shared" ref="L47:L53" si="6">J47*K47</f>
        <v>600</v>
      </c>
      <c r="M47" s="869">
        <f t="shared" ref="M47:M52" si="7">J47*K47</f>
        <v>600</v>
      </c>
      <c r="N47" s="870"/>
      <c r="O47" s="866">
        <v>200</v>
      </c>
      <c r="P47" s="862">
        <v>3</v>
      </c>
      <c r="Q47" s="866">
        <f t="shared" si="2"/>
        <v>600</v>
      </c>
      <c r="R47" s="868">
        <f t="shared" si="3"/>
        <v>600</v>
      </c>
      <c r="S47" s="874"/>
      <c r="T47" s="868">
        <f>IF(F47="Yes", O47*(1+#REF!), O47)</f>
        <v>200</v>
      </c>
      <c r="U47" s="863">
        <v>1</v>
      </c>
      <c r="V47" s="868">
        <f t="shared" si="4"/>
        <v>200</v>
      </c>
      <c r="W47" s="873">
        <f t="shared" si="5"/>
        <v>200</v>
      </c>
      <c r="X47" s="874"/>
      <c r="Y47" s="864"/>
      <c r="Z47" s="868">
        <v>0</v>
      </c>
    </row>
    <row r="48" spans="2:26" x14ac:dyDescent="0.2">
      <c r="B48" s="83">
        <f t="shared" si="0"/>
        <v>34</v>
      </c>
      <c r="C48" s="861" t="s">
        <v>44</v>
      </c>
      <c r="D48" s="862" t="s">
        <v>757</v>
      </c>
      <c r="E48" s="863" t="s">
        <v>754</v>
      </c>
      <c r="F48" s="864" t="s">
        <v>715</v>
      </c>
      <c r="G48" s="862">
        <v>60199</v>
      </c>
      <c r="H48" s="862">
        <v>805001</v>
      </c>
      <c r="I48" s="865" t="s">
        <v>755</v>
      </c>
      <c r="J48" s="866">
        <v>200</v>
      </c>
      <c r="K48" s="867">
        <v>1</v>
      </c>
      <c r="L48" s="866">
        <f t="shared" si="6"/>
        <v>200</v>
      </c>
      <c r="M48" s="869">
        <f t="shared" si="7"/>
        <v>200</v>
      </c>
      <c r="N48" s="870"/>
      <c r="O48" s="866">
        <v>200</v>
      </c>
      <c r="P48" s="862">
        <v>1</v>
      </c>
      <c r="Q48" s="866">
        <f t="shared" si="2"/>
        <v>200</v>
      </c>
      <c r="R48" s="868">
        <f t="shared" si="3"/>
        <v>200</v>
      </c>
      <c r="S48" s="874"/>
      <c r="T48" s="868">
        <f>IF(F48="Yes", O48*(1+#REF!), O48)</f>
        <v>200</v>
      </c>
      <c r="U48" s="863">
        <v>1</v>
      </c>
      <c r="V48" s="868">
        <f t="shared" si="4"/>
        <v>200</v>
      </c>
      <c r="W48" s="873">
        <f t="shared" si="5"/>
        <v>200</v>
      </c>
      <c r="X48" s="874"/>
      <c r="Y48" s="864"/>
      <c r="Z48" s="868">
        <v>0</v>
      </c>
    </row>
    <row r="49" spans="2:26" ht="25.5" x14ac:dyDescent="0.2">
      <c r="B49" s="83">
        <f t="shared" si="0"/>
        <v>35</v>
      </c>
      <c r="C49" s="861" t="s">
        <v>44</v>
      </c>
      <c r="D49" s="877" t="s">
        <v>758</v>
      </c>
      <c r="E49" s="863" t="s">
        <v>759</v>
      </c>
      <c r="F49" s="864" t="s">
        <v>715</v>
      </c>
      <c r="G49" s="862">
        <v>60199</v>
      </c>
      <c r="H49" s="862">
        <v>805001</v>
      </c>
      <c r="I49" s="865" t="s">
        <v>760</v>
      </c>
      <c r="J49" s="866">
        <v>0.75</v>
      </c>
      <c r="K49" s="867">
        <v>150</v>
      </c>
      <c r="L49" s="866">
        <f t="shared" si="6"/>
        <v>112.5</v>
      </c>
      <c r="M49" s="869">
        <f t="shared" si="7"/>
        <v>112.5</v>
      </c>
      <c r="N49" s="870"/>
      <c r="O49" s="866">
        <v>0.75</v>
      </c>
      <c r="P49" s="867">
        <v>75</v>
      </c>
      <c r="Q49" s="866">
        <f t="shared" si="2"/>
        <v>56.25</v>
      </c>
      <c r="R49" s="868">
        <f t="shared" si="3"/>
        <v>56.25</v>
      </c>
      <c r="S49" s="874"/>
      <c r="T49" s="868">
        <f>IF(F49="Yes", O49*(1+#REF!), O49)</f>
        <v>0.75</v>
      </c>
      <c r="U49" s="863">
        <v>75</v>
      </c>
      <c r="V49" s="868">
        <f t="shared" si="4"/>
        <v>56.25</v>
      </c>
      <c r="W49" s="873">
        <f t="shared" si="5"/>
        <v>56.25</v>
      </c>
      <c r="X49" s="874"/>
      <c r="Y49" s="864"/>
      <c r="Z49" s="868">
        <v>0</v>
      </c>
    </row>
    <row r="50" spans="2:26" x14ac:dyDescent="0.2">
      <c r="B50" s="83">
        <f t="shared" si="0"/>
        <v>36</v>
      </c>
      <c r="C50" s="861" t="s">
        <v>44</v>
      </c>
      <c r="D50" s="862" t="s">
        <v>761</v>
      </c>
      <c r="E50" s="878" t="s">
        <v>762</v>
      </c>
      <c r="F50" s="864" t="s">
        <v>715</v>
      </c>
      <c r="G50" s="862">
        <v>60199</v>
      </c>
      <c r="H50" s="862">
        <v>805001</v>
      </c>
      <c r="I50" s="865" t="s">
        <v>763</v>
      </c>
      <c r="J50" s="868">
        <v>1.5</v>
      </c>
      <c r="K50" s="867">
        <v>120</v>
      </c>
      <c r="L50" s="866">
        <f t="shared" si="6"/>
        <v>180</v>
      </c>
      <c r="M50" s="869">
        <f t="shared" si="7"/>
        <v>180</v>
      </c>
      <c r="N50" s="870"/>
      <c r="O50" s="866">
        <v>1.5</v>
      </c>
      <c r="P50" s="867">
        <v>120</v>
      </c>
      <c r="Q50" s="866">
        <f t="shared" si="2"/>
        <v>180</v>
      </c>
      <c r="R50" s="868">
        <f t="shared" si="3"/>
        <v>180</v>
      </c>
      <c r="S50" s="874"/>
      <c r="T50" s="868">
        <f>IF(F50="Yes", O50*(1+#REF!), O50)</f>
        <v>1.5</v>
      </c>
      <c r="U50" s="863">
        <v>120</v>
      </c>
      <c r="V50" s="868">
        <f t="shared" si="4"/>
        <v>180</v>
      </c>
      <c r="W50" s="873">
        <f t="shared" si="5"/>
        <v>180</v>
      </c>
      <c r="X50" s="874"/>
      <c r="Y50" s="864"/>
      <c r="Z50" s="868">
        <v>0</v>
      </c>
    </row>
    <row r="51" spans="2:26" x14ac:dyDescent="0.2">
      <c r="B51" s="83">
        <f t="shared" si="0"/>
        <v>37</v>
      </c>
      <c r="C51" s="861" t="s">
        <v>44</v>
      </c>
      <c r="D51" s="862" t="s">
        <v>764</v>
      </c>
      <c r="E51" s="863" t="s">
        <v>759</v>
      </c>
      <c r="F51" s="864" t="s">
        <v>715</v>
      </c>
      <c r="G51" s="862">
        <v>60199</v>
      </c>
      <c r="H51" s="862">
        <v>805001</v>
      </c>
      <c r="I51" s="865" t="s">
        <v>765</v>
      </c>
      <c r="J51" s="866">
        <v>5</v>
      </c>
      <c r="K51" s="867">
        <v>100</v>
      </c>
      <c r="L51" s="866">
        <f t="shared" si="6"/>
        <v>500</v>
      </c>
      <c r="M51" s="869">
        <f t="shared" si="7"/>
        <v>500</v>
      </c>
      <c r="N51" s="870"/>
      <c r="O51" s="866">
        <v>5</v>
      </c>
      <c r="P51" s="867">
        <v>100</v>
      </c>
      <c r="Q51" s="866">
        <f t="shared" si="2"/>
        <v>500</v>
      </c>
      <c r="R51" s="868">
        <f t="shared" si="3"/>
        <v>500</v>
      </c>
      <c r="S51" s="875"/>
      <c r="T51" s="868">
        <f>IF(F51="Yes", O51*(1+#REF!), O51)</f>
        <v>5</v>
      </c>
      <c r="U51" s="863">
        <v>100</v>
      </c>
      <c r="V51" s="868">
        <f t="shared" si="4"/>
        <v>500</v>
      </c>
      <c r="W51" s="873">
        <f t="shared" si="5"/>
        <v>500</v>
      </c>
      <c r="X51" s="875"/>
      <c r="Y51" s="864"/>
      <c r="Z51" s="868">
        <v>0</v>
      </c>
    </row>
    <row r="52" spans="2:26" x14ac:dyDescent="0.2">
      <c r="B52" s="83">
        <f t="shared" si="0"/>
        <v>38</v>
      </c>
      <c r="C52" s="861" t="s">
        <v>44</v>
      </c>
      <c r="D52" s="862" t="s">
        <v>766</v>
      </c>
      <c r="E52" s="863" t="s">
        <v>759</v>
      </c>
      <c r="F52" s="864" t="s">
        <v>715</v>
      </c>
      <c r="G52" s="862">
        <v>60199</v>
      </c>
      <c r="H52" s="862">
        <v>805001</v>
      </c>
      <c r="I52" s="865" t="s">
        <v>767</v>
      </c>
      <c r="J52" s="866">
        <v>0.1</v>
      </c>
      <c r="K52" s="867">
        <v>300</v>
      </c>
      <c r="L52" s="866">
        <f t="shared" si="6"/>
        <v>30</v>
      </c>
      <c r="M52" s="869">
        <f t="shared" si="7"/>
        <v>30</v>
      </c>
      <c r="N52" s="870"/>
      <c r="O52" s="866">
        <v>0.1</v>
      </c>
      <c r="P52" s="867">
        <v>300</v>
      </c>
      <c r="Q52" s="866">
        <f t="shared" si="2"/>
        <v>30</v>
      </c>
      <c r="R52" s="868">
        <f t="shared" si="3"/>
        <v>30</v>
      </c>
      <c r="S52" s="875"/>
      <c r="T52" s="868">
        <f>IF(F52="Yes", O52*(1+#REF!), O52)</f>
        <v>0.1</v>
      </c>
      <c r="U52" s="863">
        <v>300</v>
      </c>
      <c r="V52" s="868">
        <f t="shared" si="4"/>
        <v>30</v>
      </c>
      <c r="W52" s="873">
        <f t="shared" si="5"/>
        <v>30</v>
      </c>
      <c r="X52" s="875"/>
      <c r="Y52" s="864"/>
      <c r="Z52" s="868">
        <v>0</v>
      </c>
    </row>
    <row r="53" spans="2:26" x14ac:dyDescent="0.2">
      <c r="B53" s="83">
        <f t="shared" si="0"/>
        <v>39</v>
      </c>
      <c r="C53" s="861" t="s">
        <v>44</v>
      </c>
      <c r="D53" s="862" t="s">
        <v>768</v>
      </c>
      <c r="E53" s="863" t="s">
        <v>769</v>
      </c>
      <c r="F53" s="864" t="s">
        <v>715</v>
      </c>
      <c r="G53" s="862">
        <v>69999</v>
      </c>
      <c r="H53" s="862">
        <v>805001</v>
      </c>
      <c r="I53" s="879" t="s">
        <v>770</v>
      </c>
      <c r="J53" s="868">
        <v>241413</v>
      </c>
      <c r="K53" s="867">
        <v>1</v>
      </c>
      <c r="L53" s="880">
        <f t="shared" si="6"/>
        <v>241413</v>
      </c>
      <c r="M53" s="900">
        <v>241413</v>
      </c>
      <c r="N53" s="881"/>
      <c r="O53" s="880">
        <v>650000</v>
      </c>
      <c r="P53" s="882">
        <v>1</v>
      </c>
      <c r="Q53" s="880">
        <f t="shared" si="2"/>
        <v>650000</v>
      </c>
      <c r="R53" s="883">
        <f t="shared" si="3"/>
        <v>650000</v>
      </c>
      <c r="S53" s="884"/>
      <c r="T53" s="880">
        <v>0</v>
      </c>
      <c r="U53" s="885">
        <v>0</v>
      </c>
      <c r="V53" s="880">
        <f t="shared" si="4"/>
        <v>0</v>
      </c>
      <c r="W53" s="886">
        <f t="shared" si="5"/>
        <v>0</v>
      </c>
      <c r="X53" s="875"/>
      <c r="Y53" s="864"/>
      <c r="Z53" s="868">
        <v>0</v>
      </c>
    </row>
    <row r="54" spans="2:26" x14ac:dyDescent="0.2">
      <c r="B54" s="859"/>
      <c r="C54" s="859"/>
      <c r="D54" s="70" t="s">
        <v>771</v>
      </c>
      <c r="E54" s="70"/>
      <c r="F54" s="70"/>
      <c r="G54" s="70"/>
      <c r="H54" s="70"/>
      <c r="I54" s="89"/>
      <c r="J54" s="259"/>
      <c r="K54" s="70"/>
      <c r="L54" s="887">
        <f>SUM(L15:L53)</f>
        <v>365937.5</v>
      </c>
      <c r="M54" s="887">
        <f>SUM(M15:M53)</f>
        <v>426694</v>
      </c>
      <c r="N54" s="887"/>
      <c r="O54" s="887"/>
      <c r="P54" s="887"/>
      <c r="Q54" s="887">
        <f>SUM(Q15:Q53)</f>
        <v>702689.25</v>
      </c>
      <c r="R54" s="887">
        <f>Q54</f>
        <v>702689.25</v>
      </c>
      <c r="S54" s="887"/>
      <c r="T54" s="887"/>
      <c r="U54" s="887"/>
      <c r="V54" s="887">
        <f>SUM(V15:V53)</f>
        <v>45159.25</v>
      </c>
      <c r="W54" s="887">
        <f t="shared" si="5"/>
        <v>45159.25</v>
      </c>
      <c r="X54" s="89"/>
      <c r="Y54" s="89"/>
      <c r="Z54" s="259"/>
    </row>
    <row r="55" spans="2:26" ht="15" x14ac:dyDescent="0.25">
      <c r="C55" s="80" t="s">
        <v>45</v>
      </c>
      <c r="D55" s="81" t="s">
        <v>44</v>
      </c>
      <c r="E55" s="3" t="s">
        <v>43</v>
      </c>
      <c r="F55" s="70"/>
      <c r="G55" s="70"/>
      <c r="H55" s="70"/>
      <c r="I55" s="89"/>
      <c r="J55" s="259"/>
      <c r="K55" s="70"/>
      <c r="L55" s="259"/>
      <c r="M55" s="860"/>
      <c r="N55" s="91"/>
      <c r="O55" s="88"/>
      <c r="P55" s="89"/>
      <c r="Q55" s="88"/>
      <c r="R55" s="89"/>
      <c r="S55" s="89"/>
      <c r="T55" s="88"/>
      <c r="U55" s="89"/>
      <c r="V55" s="88"/>
      <c r="W55" s="89"/>
      <c r="X55" s="89"/>
      <c r="Y55" s="89"/>
      <c r="Z55" s="259"/>
    </row>
    <row r="56" spans="2:26" x14ac:dyDescent="0.2">
      <c r="D56" s="81" t="s">
        <v>42</v>
      </c>
      <c r="E56" s="3" t="s">
        <v>41</v>
      </c>
      <c r="F56" s="70"/>
      <c r="G56" s="70"/>
      <c r="H56" s="70"/>
      <c r="I56" s="89"/>
      <c r="J56" s="259"/>
      <c r="K56" s="70"/>
      <c r="L56" s="259"/>
      <c r="M56" s="860"/>
      <c r="N56" s="91"/>
      <c r="O56" s="88"/>
      <c r="P56" s="89"/>
      <c r="Q56" s="88"/>
      <c r="R56" s="89"/>
      <c r="S56" s="89"/>
      <c r="T56" s="88"/>
      <c r="U56" s="89"/>
      <c r="V56" s="88"/>
      <c r="W56" s="89"/>
      <c r="X56" s="89"/>
      <c r="Y56" s="89"/>
      <c r="Z56" s="259"/>
    </row>
    <row r="57" spans="2:26" x14ac:dyDescent="0.2">
      <c r="D57" s="81" t="s">
        <v>40</v>
      </c>
      <c r="E57" s="3" t="s">
        <v>39</v>
      </c>
      <c r="F57" s="70"/>
      <c r="G57" s="70"/>
      <c r="H57" s="70"/>
      <c r="I57" s="89"/>
      <c r="J57" s="259"/>
      <c r="K57" s="70"/>
      <c r="L57" s="259"/>
      <c r="M57" s="860"/>
      <c r="N57" s="91"/>
      <c r="O57" s="88"/>
      <c r="P57" s="89"/>
      <c r="Q57" s="88"/>
      <c r="R57" s="89"/>
      <c r="S57" s="89"/>
      <c r="T57" s="88"/>
      <c r="U57" s="89"/>
      <c r="V57" s="88"/>
      <c r="W57" s="89"/>
      <c r="X57" s="89"/>
      <c r="Y57" s="89"/>
      <c r="Z57" s="259"/>
    </row>
    <row r="58" spans="2:26" x14ac:dyDescent="0.2">
      <c r="D58" s="81" t="s">
        <v>38</v>
      </c>
      <c r="E58" s="3" t="s">
        <v>37</v>
      </c>
      <c r="F58" s="70"/>
      <c r="G58" s="70"/>
      <c r="H58" s="70"/>
      <c r="I58" s="89"/>
      <c r="J58" s="259"/>
      <c r="K58" s="70"/>
      <c r="L58" s="259"/>
      <c r="M58" s="860"/>
      <c r="N58" s="91"/>
      <c r="O58" s="88"/>
      <c r="P58" s="89"/>
      <c r="Q58" s="88"/>
      <c r="R58" s="89"/>
      <c r="S58" s="89"/>
      <c r="T58" s="88"/>
      <c r="U58" s="89"/>
      <c r="V58" s="88"/>
      <c r="W58" s="89"/>
      <c r="X58" s="89"/>
      <c r="Y58" s="89"/>
      <c r="Z58" s="259"/>
    </row>
    <row r="59" spans="2:26" ht="15" x14ac:dyDescent="0.25">
      <c r="B59" s="80" t="s">
        <v>36</v>
      </c>
      <c r="N59" s="98"/>
      <c r="O59" s="98"/>
      <c r="P59" s="98"/>
      <c r="Q59" s="98"/>
      <c r="R59" s="98"/>
      <c r="S59" s="98"/>
      <c r="T59" s="98"/>
      <c r="U59" s="98"/>
      <c r="V59" s="98"/>
      <c r="W59" s="98"/>
      <c r="X59" s="98"/>
      <c r="Y59" s="98"/>
    </row>
    <row r="60" spans="2:26" ht="15" x14ac:dyDescent="0.25">
      <c r="B60" s="74" t="s">
        <v>85</v>
      </c>
    </row>
    <row r="61" spans="2:26" ht="15" x14ac:dyDescent="0.25">
      <c r="B61" s="74" t="s">
        <v>35</v>
      </c>
    </row>
  </sheetData>
  <mergeCells count="1">
    <mergeCell ref="B8:K8"/>
  </mergeCells>
  <dataValidations count="3">
    <dataValidation type="list" allowBlank="1" showInputMessage="1" showErrorMessage="1" sqref="C54">
      <formula1>$D$48</formula1>
    </dataValidation>
    <dataValidation type="list" allowBlank="1" showInputMessage="1" showErrorMessage="1" prompt="Yes for Auto CPI Increase as per Code" sqref="F12:F13 F15:F58">
      <formula1>Auto_CPI_Adjust_Yes_No</formula1>
    </dataValidation>
    <dataValidation type="list" allowBlank="1" showInputMessage="1" showErrorMessage="1" sqref="C15:C53">
      <formula1>$D$59</formula1>
    </dataValidation>
  </dataValidations>
  <printOptions horizontalCentered="1"/>
  <pageMargins left="0.25" right="0.25" top="0.41" bottom="0.27" header="0.3" footer="0.17"/>
  <pageSetup scale="34" fitToHeight="0" orientation="landscape" r:id="rId1"/>
  <headerFooter alignWithMargins="0"/>
  <colBreaks count="1" manualBreakCount="1">
    <brk id="27" min="1" max="3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B2:S176"/>
  <sheetViews>
    <sheetView view="pageBreakPreview" zoomScale="70" zoomScaleNormal="75" zoomScaleSheetLayoutView="70" workbookViewId="0">
      <selection activeCell="B13" sqref="B13:M13"/>
    </sheetView>
  </sheetViews>
  <sheetFormatPr defaultColWidth="9.140625" defaultRowHeight="14.25" x14ac:dyDescent="0.2"/>
  <cols>
    <col min="1" max="1" width="9.140625" style="114"/>
    <col min="2" max="2" width="7" style="114" customWidth="1"/>
    <col min="3" max="3" width="30.140625" style="114" customWidth="1"/>
    <col min="4" max="4" width="20.28515625" style="114" customWidth="1"/>
    <col min="5" max="5" width="12.85546875" style="114" customWidth="1"/>
    <col min="6" max="6" width="6.7109375" style="114" customWidth="1"/>
    <col min="7" max="7" width="13.140625" style="114" customWidth="1"/>
    <col min="8" max="8" width="7" style="114" customWidth="1"/>
    <col min="9" max="9" width="32.85546875" style="114" customWidth="1"/>
    <col min="10" max="10" width="17" style="114" customWidth="1"/>
    <col min="11" max="11" width="11.85546875" style="114" customWidth="1"/>
    <col min="12" max="12" width="16.42578125" style="114" customWidth="1"/>
    <col min="13" max="13" width="10.85546875" style="115" customWidth="1"/>
    <col min="14" max="16384" width="9.140625" style="114"/>
  </cols>
  <sheetData>
    <row r="2" spans="2:13" s="277" customFormat="1" ht="33.75" x14ac:dyDescent="0.45">
      <c r="B2" s="280" t="s">
        <v>193</v>
      </c>
      <c r="C2" s="279"/>
      <c r="D2" s="279"/>
      <c r="E2" s="279"/>
      <c r="G2" s="279"/>
      <c r="H2" s="278" t="s">
        <v>192</v>
      </c>
      <c r="K2" s="273"/>
      <c r="L2" s="273"/>
      <c r="M2" s="273"/>
    </row>
    <row r="3" spans="2:13" ht="20.25" x14ac:dyDescent="0.2">
      <c r="B3" s="276" t="s">
        <v>191</v>
      </c>
      <c r="D3" s="275" t="s">
        <v>190</v>
      </c>
      <c r="E3" s="274"/>
      <c r="F3" s="274"/>
      <c r="G3" s="274"/>
      <c r="H3" s="274"/>
      <c r="I3" s="274"/>
      <c r="J3" s="274"/>
      <c r="K3" s="273"/>
      <c r="L3" s="273"/>
      <c r="M3" s="273"/>
    </row>
    <row r="4" spans="2:13" ht="15" x14ac:dyDescent="0.25">
      <c r="B4" s="272"/>
      <c r="C4" s="272"/>
      <c r="D4" s="272"/>
      <c r="E4" s="272"/>
      <c r="F4" s="272"/>
      <c r="G4" s="272"/>
      <c r="H4" s="272"/>
      <c r="I4" s="272"/>
      <c r="J4" s="272"/>
      <c r="K4" s="272"/>
      <c r="L4" s="272"/>
      <c r="M4" s="271"/>
    </row>
    <row r="5" spans="2:13" ht="15" x14ac:dyDescent="0.25">
      <c r="B5" s="212" t="s">
        <v>189</v>
      </c>
      <c r="D5" s="952" t="s">
        <v>188</v>
      </c>
      <c r="E5" s="952"/>
      <c r="F5" s="200"/>
      <c r="G5" s="200"/>
      <c r="H5" s="953" t="s">
        <v>187</v>
      </c>
      <c r="I5" s="954"/>
      <c r="J5" s="200"/>
      <c r="L5" s="952" t="s">
        <v>186</v>
      </c>
      <c r="M5" s="952"/>
    </row>
    <row r="6" spans="2:13" ht="15" x14ac:dyDescent="0.25">
      <c r="B6" s="212" t="s">
        <v>185</v>
      </c>
      <c r="D6" s="270" t="s">
        <v>184</v>
      </c>
      <c r="E6" s="200"/>
      <c r="F6" s="200"/>
      <c r="G6" s="200"/>
      <c r="H6" s="953" t="s">
        <v>183</v>
      </c>
      <c r="I6" s="954"/>
      <c r="J6" s="955"/>
      <c r="K6" s="955"/>
      <c r="L6" s="952" t="s">
        <v>182</v>
      </c>
      <c r="M6" s="952"/>
    </row>
    <row r="7" spans="2:13" ht="15" x14ac:dyDescent="0.25">
      <c r="B7" s="212" t="s">
        <v>181</v>
      </c>
      <c r="D7" s="270" t="s">
        <v>180</v>
      </c>
      <c r="E7" s="200"/>
      <c r="F7" s="200"/>
      <c r="G7" s="200"/>
      <c r="H7" s="960" t="s">
        <v>179</v>
      </c>
      <c r="I7" s="954"/>
      <c r="J7" s="200"/>
      <c r="L7" s="952" t="s">
        <v>178</v>
      </c>
      <c r="M7" s="952"/>
    </row>
    <row r="8" spans="2:13" ht="15" x14ac:dyDescent="0.25">
      <c r="B8" s="198"/>
      <c r="H8" s="953"/>
      <c r="I8" s="954"/>
    </row>
    <row r="9" spans="2:13" ht="15" x14ac:dyDescent="0.25">
      <c r="B9" s="198" t="s">
        <v>175</v>
      </c>
      <c r="D9" s="269" t="s">
        <v>39</v>
      </c>
      <c r="F9" s="268"/>
      <c r="G9" s="268"/>
      <c r="H9" s="953" t="s">
        <v>177</v>
      </c>
      <c r="I9" s="954"/>
      <c r="J9" s="198"/>
      <c r="L9" s="267">
        <v>44</v>
      </c>
      <c r="M9" s="265" t="s">
        <v>176</v>
      </c>
    </row>
    <row r="10" spans="2:13" ht="15" x14ac:dyDescent="0.25">
      <c r="B10" s="198" t="s">
        <v>175</v>
      </c>
      <c r="D10" s="269" t="s">
        <v>39</v>
      </c>
      <c r="F10" s="268"/>
      <c r="G10" s="268"/>
      <c r="H10" s="953" t="s">
        <v>174</v>
      </c>
      <c r="I10" s="954"/>
      <c r="J10" s="198"/>
      <c r="L10" s="267">
        <v>42</v>
      </c>
      <c r="M10" s="265" t="s">
        <v>173</v>
      </c>
    </row>
    <row r="11" spans="2:13" ht="15" x14ac:dyDescent="0.25">
      <c r="H11" s="953" t="s">
        <v>172</v>
      </c>
      <c r="I11" s="954"/>
      <c r="J11" s="198"/>
      <c r="L11" s="266">
        <v>40</v>
      </c>
      <c r="M11" s="265" t="s">
        <v>171</v>
      </c>
    </row>
    <row r="12" spans="2:13" ht="15" x14ac:dyDescent="0.2">
      <c r="B12" s="264" t="s">
        <v>170</v>
      </c>
      <c r="C12" s="200"/>
      <c r="D12" s="956"/>
      <c r="E12" s="956"/>
      <c r="F12" s="200"/>
      <c r="G12" s="200"/>
      <c r="H12" s="200"/>
      <c r="I12" s="200"/>
      <c r="J12" s="200"/>
      <c r="K12" s="200"/>
      <c r="L12" s="200"/>
      <c r="M12" s="199"/>
    </row>
    <row r="13" spans="2:13" x14ac:dyDescent="0.2">
      <c r="B13" s="957" t="s">
        <v>169</v>
      </c>
      <c r="C13" s="958"/>
      <c r="D13" s="958"/>
      <c r="E13" s="958"/>
      <c r="F13" s="958"/>
      <c r="G13" s="958"/>
      <c r="H13" s="958"/>
      <c r="I13" s="958"/>
      <c r="J13" s="958"/>
      <c r="K13" s="958"/>
      <c r="L13" s="958"/>
      <c r="M13" s="959"/>
    </row>
    <row r="14" spans="2:13" x14ac:dyDescent="0.2">
      <c r="B14" s="200"/>
      <c r="C14" s="200"/>
      <c r="D14" s="200"/>
      <c r="E14" s="200"/>
      <c r="F14" s="200"/>
      <c r="G14" s="200"/>
      <c r="H14" s="200"/>
      <c r="I14" s="200"/>
      <c r="J14" s="200"/>
      <c r="K14" s="200"/>
      <c r="L14" s="200"/>
      <c r="M14" s="199"/>
    </row>
    <row r="15" spans="2:13" ht="15" x14ac:dyDescent="0.25">
      <c r="B15" s="200"/>
      <c r="C15" s="212" t="str">
        <f>H9</f>
        <v>Proposed Fee (FY 2017-18):</v>
      </c>
      <c r="D15" s="200"/>
      <c r="E15" s="259">
        <f>L9</f>
        <v>44</v>
      </c>
      <c r="F15" s="259"/>
      <c r="G15" s="259"/>
      <c r="H15" s="212" t="s">
        <v>168</v>
      </c>
      <c r="J15" s="212"/>
      <c r="K15" s="200"/>
      <c r="L15" s="82">
        <f>E15-E16</f>
        <v>2</v>
      </c>
      <c r="M15" s="199"/>
    </row>
    <row r="16" spans="2:13" ht="15" x14ac:dyDescent="0.25">
      <c r="B16" s="200"/>
      <c r="C16" s="212" t="str">
        <f>H10</f>
        <v>Proposed Fee (FY 2016-17):</v>
      </c>
      <c r="D16" s="200"/>
      <c r="E16" s="259">
        <f>L10</f>
        <v>42</v>
      </c>
      <c r="F16" s="259"/>
      <c r="G16" s="259"/>
      <c r="H16" s="212" t="s">
        <v>167</v>
      </c>
      <c r="J16" s="212"/>
      <c r="K16" s="200"/>
      <c r="L16" s="258">
        <f>L15/E16</f>
        <v>4.7619047619047616E-2</v>
      </c>
      <c r="M16" s="199"/>
    </row>
    <row r="17" spans="2:13" ht="15" x14ac:dyDescent="0.25">
      <c r="B17" s="200"/>
      <c r="C17" s="212" t="str">
        <f>H11</f>
        <v>Current Fee    (FY 2015-16):</v>
      </c>
      <c r="D17" s="200"/>
      <c r="E17" s="259">
        <f>L11</f>
        <v>40</v>
      </c>
      <c r="F17" s="259"/>
      <c r="G17" s="259"/>
      <c r="H17" s="212" t="s">
        <v>166</v>
      </c>
      <c r="J17" s="212"/>
      <c r="K17" s="200"/>
      <c r="L17" s="82">
        <f>E16-E17</f>
        <v>2</v>
      </c>
      <c r="M17" s="199"/>
    </row>
    <row r="18" spans="2:13" ht="15" x14ac:dyDescent="0.25">
      <c r="B18" s="200"/>
      <c r="C18" s="200"/>
      <c r="D18" s="200"/>
      <c r="E18" s="200"/>
      <c r="F18" s="200"/>
      <c r="G18" s="200"/>
      <c r="H18" s="212" t="s">
        <v>165</v>
      </c>
      <c r="J18" s="212"/>
      <c r="K18" s="200"/>
      <c r="L18" s="258">
        <f>L17/E17</f>
        <v>0.05</v>
      </c>
      <c r="M18" s="199"/>
    </row>
    <row r="19" spans="2:13" ht="15" thickBot="1" x14ac:dyDescent="0.25">
      <c r="B19" s="263"/>
      <c r="C19" s="263"/>
      <c r="D19" s="263"/>
      <c r="E19" s="263"/>
      <c r="F19" s="263"/>
      <c r="G19" s="263"/>
      <c r="H19" s="263"/>
      <c r="I19" s="263"/>
      <c r="J19" s="263"/>
      <c r="K19" s="263"/>
      <c r="L19" s="263"/>
      <c r="M19" s="262"/>
    </row>
    <row r="20" spans="2:13" ht="15.75" thickTop="1" x14ac:dyDescent="0.25">
      <c r="B20" s="200"/>
      <c r="C20" s="217" t="s">
        <v>164</v>
      </c>
      <c r="D20" s="200"/>
      <c r="E20" s="261">
        <v>38</v>
      </c>
      <c r="F20" s="259"/>
      <c r="G20" s="259"/>
      <c r="H20" s="217" t="s">
        <v>163</v>
      </c>
      <c r="J20" s="217"/>
      <c r="K20" s="200"/>
      <c r="L20" s="260" t="s">
        <v>162</v>
      </c>
      <c r="M20" s="199"/>
    </row>
    <row r="21" spans="2:13" ht="15" x14ac:dyDescent="0.25">
      <c r="B21" s="200"/>
      <c r="C21" s="217" t="s">
        <v>161</v>
      </c>
      <c r="D21" s="200"/>
      <c r="E21" s="259">
        <f>E17-E20</f>
        <v>2</v>
      </c>
      <c r="F21" s="259"/>
      <c r="G21" s="259"/>
      <c r="H21" s="212" t="s">
        <v>160</v>
      </c>
      <c r="J21" s="212"/>
      <c r="K21" s="200"/>
      <c r="L21" s="258">
        <f>E21/E20</f>
        <v>5.2631578947368418E-2</v>
      </c>
      <c r="M21" s="199"/>
    </row>
    <row r="22" spans="2:13" ht="15" thickBot="1" x14ac:dyDescent="0.25">
      <c r="B22" s="200"/>
      <c r="C22" s="200"/>
      <c r="D22" s="200"/>
      <c r="E22" s="200"/>
      <c r="F22" s="200"/>
      <c r="G22" s="200"/>
      <c r="H22" s="200"/>
      <c r="I22" s="200"/>
      <c r="J22" s="200"/>
      <c r="K22" s="200"/>
      <c r="L22" s="200"/>
      <c r="M22" s="199"/>
    </row>
    <row r="23" spans="2:13" ht="21" thickBot="1" x14ac:dyDescent="0.25">
      <c r="B23" s="949" t="s">
        <v>159</v>
      </c>
      <c r="C23" s="950"/>
      <c r="D23" s="950"/>
      <c r="E23" s="950"/>
      <c r="F23" s="950"/>
      <c r="G23" s="950"/>
      <c r="H23" s="950"/>
      <c r="I23" s="950"/>
      <c r="J23" s="950"/>
      <c r="K23" s="950"/>
      <c r="L23" s="950"/>
      <c r="M23" s="951"/>
    </row>
    <row r="24" spans="2:13" ht="15.75" thickBot="1" x14ac:dyDescent="0.3">
      <c r="B24" s="257"/>
      <c r="C24" s="929" t="s">
        <v>146</v>
      </c>
      <c r="D24" s="929"/>
      <c r="E24" s="929"/>
      <c r="F24" s="256"/>
      <c r="G24" s="255"/>
      <c r="H24" s="200"/>
      <c r="I24" s="929" t="s">
        <v>158</v>
      </c>
      <c r="J24" s="929"/>
      <c r="K24" s="929"/>
      <c r="L24" s="929"/>
      <c r="M24" s="930"/>
    </row>
    <row r="25" spans="2:13" ht="30.75" thickTop="1" x14ac:dyDescent="0.25">
      <c r="B25" s="227" t="s">
        <v>144</v>
      </c>
      <c r="C25" s="212" t="s">
        <v>143</v>
      </c>
      <c r="D25" s="200"/>
      <c r="E25" s="200"/>
      <c r="F25" s="233"/>
      <c r="G25" s="232"/>
      <c r="H25" s="210" t="s">
        <v>38</v>
      </c>
      <c r="I25" s="212" t="s">
        <v>109</v>
      </c>
      <c r="J25" s="236"/>
      <c r="K25" s="200"/>
      <c r="L25" s="247" t="s">
        <v>157</v>
      </c>
      <c r="M25" s="246" t="s">
        <v>141</v>
      </c>
    </row>
    <row r="26" spans="2:13" ht="15" x14ac:dyDescent="0.25">
      <c r="B26" s="214"/>
      <c r="C26" s="212" t="s">
        <v>140</v>
      </c>
      <c r="D26" s="200"/>
      <c r="E26" s="245">
        <v>5000</v>
      </c>
      <c r="F26" s="244"/>
      <c r="G26" s="243"/>
      <c r="H26" s="200"/>
      <c r="I26" s="231" t="s">
        <v>156</v>
      </c>
      <c r="J26" s="231"/>
      <c r="K26" s="200"/>
      <c r="L26" s="229">
        <f>G91*0.75</f>
        <v>313701.92307692312</v>
      </c>
      <c r="M26" s="228">
        <f>L26/$L$34</f>
        <v>0.59248161263960775</v>
      </c>
    </row>
    <row r="27" spans="2:13" x14ac:dyDescent="0.2">
      <c r="B27" s="214"/>
      <c r="C27" s="200"/>
      <c r="D27" s="200"/>
      <c r="E27" s="242"/>
      <c r="F27" s="241"/>
      <c r="G27" s="240"/>
      <c r="H27" s="200"/>
      <c r="I27" s="231" t="s">
        <v>155</v>
      </c>
      <c r="J27" s="231"/>
      <c r="K27" s="200"/>
      <c r="L27" s="229">
        <f>G91*0.25</f>
        <v>104567.3076923077</v>
      </c>
      <c r="M27" s="228">
        <f>L27/$L$34</f>
        <v>0.19749387087986925</v>
      </c>
    </row>
    <row r="28" spans="2:13" x14ac:dyDescent="0.2">
      <c r="B28" s="214"/>
      <c r="C28" s="200"/>
      <c r="D28" s="200"/>
      <c r="E28" s="242"/>
      <c r="F28" s="241"/>
      <c r="G28" s="240"/>
      <c r="H28" s="200"/>
      <c r="I28" s="231" t="s">
        <v>95</v>
      </c>
      <c r="J28" s="231"/>
      <c r="K28" s="200"/>
      <c r="L28" s="239">
        <f>C100</f>
        <v>15000</v>
      </c>
      <c r="M28" s="228">
        <f>L28/$L$34</f>
        <v>2.8330155271043312E-2</v>
      </c>
    </row>
    <row r="29" spans="2:13" x14ac:dyDescent="0.2">
      <c r="B29" s="214"/>
      <c r="C29" s="200"/>
      <c r="D29" s="200"/>
      <c r="E29" s="200"/>
      <c r="F29" s="233"/>
      <c r="G29" s="232"/>
      <c r="H29" s="200"/>
      <c r="I29" s="231" t="s">
        <v>137</v>
      </c>
      <c r="J29" s="231"/>
      <c r="K29" s="200"/>
      <c r="L29" s="238">
        <f>C108</f>
        <v>0</v>
      </c>
      <c r="M29" s="228">
        <f>L29/$L$34</f>
        <v>0</v>
      </c>
    </row>
    <row r="30" spans="2:13" x14ac:dyDescent="0.2">
      <c r="B30" s="214"/>
      <c r="C30" s="200"/>
      <c r="D30" s="200"/>
      <c r="E30" s="200"/>
      <c r="F30" s="233"/>
      <c r="G30" s="232"/>
      <c r="H30" s="200"/>
      <c r="I30" s="231" t="s">
        <v>136</v>
      </c>
      <c r="J30" s="231"/>
      <c r="K30" s="200"/>
      <c r="L30" s="238">
        <f>C116</f>
        <v>0</v>
      </c>
      <c r="M30" s="228">
        <f>L30/$L$34</f>
        <v>0</v>
      </c>
    </row>
    <row r="31" spans="2:13" ht="15" x14ac:dyDescent="0.25">
      <c r="B31" s="227" t="s">
        <v>135</v>
      </c>
      <c r="C31" s="212" t="s">
        <v>134</v>
      </c>
      <c r="D31" s="200"/>
      <c r="E31" s="237">
        <f>L10</f>
        <v>42</v>
      </c>
      <c r="F31" s="224"/>
      <c r="G31" s="223"/>
      <c r="H31" s="210" t="s">
        <v>133</v>
      </c>
      <c r="I31" s="212" t="s">
        <v>89</v>
      </c>
      <c r="J31" s="236"/>
      <c r="K31" s="226" t="s">
        <v>88</v>
      </c>
      <c r="L31" s="200"/>
      <c r="M31" s="206"/>
    </row>
    <row r="32" spans="2:13" x14ac:dyDescent="0.2">
      <c r="B32" s="254"/>
      <c r="C32" s="200"/>
      <c r="D32" s="200"/>
      <c r="E32" s="200"/>
      <c r="F32" s="233"/>
      <c r="G32" s="232"/>
      <c r="H32" s="200"/>
      <c r="I32" s="231" t="s">
        <v>132</v>
      </c>
      <c r="J32" s="231"/>
      <c r="K32" s="234">
        <f>B121</f>
        <v>0.2</v>
      </c>
      <c r="L32" s="229">
        <f>K32*($L$26+$L$27)</f>
        <v>83653.846153846171</v>
      </c>
      <c r="M32" s="228">
        <f>L32/$L$34</f>
        <v>0.15799509670389542</v>
      </c>
    </row>
    <row r="33" spans="2:13" x14ac:dyDescent="0.2">
      <c r="B33" s="214"/>
      <c r="C33" s="200"/>
      <c r="D33" s="200"/>
      <c r="E33" s="200"/>
      <c r="F33" s="233"/>
      <c r="G33" s="232"/>
      <c r="H33" s="200"/>
      <c r="I33" s="231" t="s">
        <v>131</v>
      </c>
      <c r="J33" s="231"/>
      <c r="K33" s="230">
        <v>0.03</v>
      </c>
      <c r="L33" s="239">
        <f>K33*($L$26+$L$27)</f>
        <v>12548.076923076924</v>
      </c>
      <c r="M33" s="228">
        <f>L33/$L$34</f>
        <v>2.3699264505584308E-2</v>
      </c>
    </row>
    <row r="34" spans="2:13" ht="15" x14ac:dyDescent="0.25">
      <c r="B34" s="227" t="s">
        <v>44</v>
      </c>
      <c r="C34" s="212" t="s">
        <v>154</v>
      </c>
      <c r="D34" s="200"/>
      <c r="E34" s="225">
        <f>E26*E31</f>
        <v>210000</v>
      </c>
      <c r="F34" s="224"/>
      <c r="G34" s="223"/>
      <c r="H34" s="210" t="s">
        <v>129</v>
      </c>
      <c r="I34" s="212" t="s">
        <v>153</v>
      </c>
      <c r="J34" s="212"/>
      <c r="K34" s="200"/>
      <c r="L34" s="222">
        <f>SUM(L26:L33)</f>
        <v>529471.15384615387</v>
      </c>
      <c r="M34" s="221">
        <f>L34/$L$34</f>
        <v>1</v>
      </c>
    </row>
    <row r="35" spans="2:13" ht="15" thickBot="1" x14ac:dyDescent="0.25">
      <c r="B35" s="205"/>
      <c r="C35" s="203"/>
      <c r="D35" s="203"/>
      <c r="E35" s="203"/>
      <c r="F35" s="220"/>
      <c r="G35" s="203"/>
      <c r="H35" s="203"/>
      <c r="I35" s="203"/>
      <c r="J35" s="203"/>
      <c r="K35" s="203"/>
      <c r="L35" s="203"/>
      <c r="M35" s="201"/>
    </row>
    <row r="36" spans="2:13" ht="15" x14ac:dyDescent="0.25">
      <c r="B36" s="210" t="s">
        <v>127</v>
      </c>
      <c r="C36" s="213" t="s">
        <v>152</v>
      </c>
      <c r="E36" s="219">
        <f>E34/L34</f>
        <v>0.39662217379460635</v>
      </c>
      <c r="M36" s="215"/>
    </row>
    <row r="37" spans="2:13" ht="15" x14ac:dyDescent="0.25">
      <c r="B37" s="210" t="s">
        <v>125</v>
      </c>
      <c r="C37" s="213" t="s">
        <v>151</v>
      </c>
      <c r="E37" s="218">
        <f>L34/E26</f>
        <v>105.89423076923077</v>
      </c>
      <c r="M37" s="215"/>
    </row>
    <row r="38" spans="2:13" ht="15" x14ac:dyDescent="0.25">
      <c r="B38" s="210" t="s">
        <v>123</v>
      </c>
      <c r="C38" s="213" t="s">
        <v>150</v>
      </c>
      <c r="E38" s="216">
        <f>E31-E37</f>
        <v>-63.894230769230774</v>
      </c>
      <c r="M38" s="215"/>
    </row>
    <row r="39" spans="2:13" ht="15" x14ac:dyDescent="0.25">
      <c r="B39" s="227"/>
      <c r="C39" s="253"/>
      <c r="D39" s="200"/>
      <c r="E39" s="213"/>
      <c r="F39" s="213"/>
      <c r="G39" s="213"/>
      <c r="H39" s="212"/>
      <c r="I39" s="200"/>
      <c r="J39" s="200"/>
      <c r="K39" s="200"/>
      <c r="L39" s="252"/>
      <c r="M39" s="215"/>
    </row>
    <row r="40" spans="2:13" ht="15" x14ac:dyDescent="0.25">
      <c r="B40" s="210" t="s">
        <v>121</v>
      </c>
      <c r="C40" s="212" t="s">
        <v>118</v>
      </c>
      <c r="D40" s="200"/>
      <c r="E40" s="200"/>
      <c r="F40" s="200"/>
      <c r="G40" s="200"/>
      <c r="H40" s="200"/>
      <c r="I40" s="200"/>
      <c r="J40" s="200"/>
      <c r="K40" s="200"/>
      <c r="L40" s="211">
        <f>L10*E26</f>
        <v>210000</v>
      </c>
      <c r="M40" s="206"/>
    </row>
    <row r="41" spans="2:13" ht="15" x14ac:dyDescent="0.25">
      <c r="B41" s="210" t="s">
        <v>119</v>
      </c>
      <c r="C41" s="212" t="s">
        <v>149</v>
      </c>
      <c r="D41" s="200"/>
      <c r="E41" s="200"/>
      <c r="F41" s="200"/>
      <c r="G41" s="200"/>
      <c r="H41" s="200"/>
      <c r="I41" s="200"/>
      <c r="J41" s="200"/>
      <c r="K41" s="200"/>
      <c r="L41" s="211">
        <f>L11*E26</f>
        <v>200000</v>
      </c>
      <c r="M41" s="206"/>
    </row>
    <row r="42" spans="2:13" ht="15.75" thickBot="1" x14ac:dyDescent="0.3">
      <c r="B42" s="210" t="s">
        <v>117</v>
      </c>
      <c r="C42" s="209" t="s">
        <v>148</v>
      </c>
      <c r="D42" s="208"/>
      <c r="E42" s="208"/>
      <c r="F42" s="208"/>
      <c r="G42" s="208"/>
      <c r="H42" s="208"/>
      <c r="I42" s="208"/>
      <c r="J42" s="208"/>
      <c r="K42" s="208"/>
      <c r="L42" s="207">
        <f>L40-L41</f>
        <v>10000</v>
      </c>
      <c r="M42" s="206"/>
    </row>
    <row r="43" spans="2:13" ht="18.75" thickTop="1" thickBot="1" x14ac:dyDescent="0.45">
      <c r="B43" s="205"/>
      <c r="C43" s="204"/>
      <c r="D43" s="203"/>
      <c r="E43" s="203"/>
      <c r="F43" s="203"/>
      <c r="G43" s="203"/>
      <c r="H43" s="203"/>
      <c r="I43" s="203"/>
      <c r="J43" s="203"/>
      <c r="K43" s="203"/>
      <c r="L43" s="251"/>
      <c r="M43" s="201"/>
    </row>
    <row r="44" spans="2:13" ht="15.75" thickBot="1" x14ac:dyDescent="0.3">
      <c r="C44" s="217"/>
      <c r="D44" s="200"/>
      <c r="E44" s="200"/>
      <c r="F44" s="200"/>
      <c r="G44" s="200"/>
      <c r="H44" s="200"/>
      <c r="I44" s="200"/>
      <c r="J44" s="200"/>
      <c r="K44" s="200"/>
      <c r="L44" s="250"/>
    </row>
    <row r="45" spans="2:13" ht="21" thickBot="1" x14ac:dyDescent="0.25">
      <c r="B45" s="949" t="s">
        <v>147</v>
      </c>
      <c r="C45" s="950"/>
      <c r="D45" s="950"/>
      <c r="E45" s="950"/>
      <c r="F45" s="950"/>
      <c r="G45" s="950"/>
      <c r="H45" s="950"/>
      <c r="I45" s="950"/>
      <c r="J45" s="950"/>
      <c r="K45" s="950"/>
      <c r="L45" s="950"/>
      <c r="M45" s="951"/>
    </row>
    <row r="46" spans="2:13" ht="15.75" thickBot="1" x14ac:dyDescent="0.25">
      <c r="B46" s="249"/>
      <c r="C46" s="928" t="s">
        <v>146</v>
      </c>
      <c r="D46" s="928"/>
      <c r="E46" s="928"/>
      <c r="F46" s="200"/>
      <c r="G46" s="200"/>
      <c r="H46" s="248"/>
      <c r="I46" s="929" t="s">
        <v>145</v>
      </c>
      <c r="J46" s="929"/>
      <c r="K46" s="929"/>
      <c r="L46" s="929"/>
      <c r="M46" s="930"/>
    </row>
    <row r="47" spans="2:13" ht="30.75" thickTop="1" x14ac:dyDescent="0.25">
      <c r="B47" s="227" t="s">
        <v>144</v>
      </c>
      <c r="C47" s="212" t="s">
        <v>143</v>
      </c>
      <c r="D47" s="226"/>
      <c r="E47" s="200"/>
      <c r="F47" s="233"/>
      <c r="G47" s="232"/>
      <c r="H47" s="210" t="s">
        <v>38</v>
      </c>
      <c r="I47" s="212" t="s">
        <v>109</v>
      </c>
      <c r="J47" s="236"/>
      <c r="K47" s="200"/>
      <c r="L47" s="247" t="s">
        <v>142</v>
      </c>
      <c r="M47" s="246" t="s">
        <v>141</v>
      </c>
    </row>
    <row r="48" spans="2:13" ht="15" x14ac:dyDescent="0.25">
      <c r="B48" s="214"/>
      <c r="C48" s="212" t="s">
        <v>140</v>
      </c>
      <c r="D48" s="200"/>
      <c r="E48" s="245">
        <v>5000</v>
      </c>
      <c r="F48" s="244"/>
      <c r="G48" s="243"/>
      <c r="H48" s="200"/>
      <c r="I48" s="231" t="s">
        <v>139</v>
      </c>
      <c r="J48" s="231"/>
      <c r="K48" s="200"/>
      <c r="L48" s="229">
        <f>'[9]Form 2C - Cost Recovery'!F144*0.75</f>
        <v>0</v>
      </c>
      <c r="M48" s="228" t="e">
        <f>L48/$L$56</f>
        <v>#DIV/0!</v>
      </c>
    </row>
    <row r="49" spans="2:13" x14ac:dyDescent="0.2">
      <c r="B49" s="214"/>
      <c r="C49" s="200"/>
      <c r="D49" s="200"/>
      <c r="E49" s="242"/>
      <c r="F49" s="241"/>
      <c r="G49" s="240"/>
      <c r="H49" s="200"/>
      <c r="I49" s="231" t="s">
        <v>138</v>
      </c>
      <c r="J49" s="231"/>
      <c r="K49" s="200"/>
      <c r="L49" s="229">
        <f>'[9]Form 2C - Cost Recovery'!F145*0.25</f>
        <v>0</v>
      </c>
      <c r="M49" s="228" t="e">
        <f>L49/$L$56</f>
        <v>#DIV/0!</v>
      </c>
    </row>
    <row r="50" spans="2:13" x14ac:dyDescent="0.2">
      <c r="B50" s="214"/>
      <c r="C50" s="200"/>
      <c r="D50" s="200"/>
      <c r="E50" s="242"/>
      <c r="F50" s="241"/>
      <c r="G50" s="240"/>
      <c r="H50" s="200"/>
      <c r="I50" s="231" t="s">
        <v>95</v>
      </c>
      <c r="J50" s="231"/>
      <c r="K50" s="200"/>
      <c r="L50" s="239">
        <f>'[9]Form 2C - Cost Recovery'!B153</f>
        <v>0</v>
      </c>
      <c r="M50" s="228" t="e">
        <f>L50/$L$56</f>
        <v>#DIV/0!</v>
      </c>
    </row>
    <row r="51" spans="2:13" x14ac:dyDescent="0.2">
      <c r="B51" s="214"/>
      <c r="C51" s="200"/>
      <c r="D51" s="200"/>
      <c r="E51" s="200"/>
      <c r="F51" s="233"/>
      <c r="G51" s="232"/>
      <c r="H51" s="200"/>
      <c r="I51" s="231" t="s">
        <v>137</v>
      </c>
      <c r="J51" s="231"/>
      <c r="K51" s="200"/>
      <c r="L51" s="238">
        <f>'[9]Form 2C - Cost Recovery'!B161</f>
        <v>0</v>
      </c>
      <c r="M51" s="228" t="e">
        <f>L51/$L$56</f>
        <v>#DIV/0!</v>
      </c>
    </row>
    <row r="52" spans="2:13" x14ac:dyDescent="0.2">
      <c r="B52" s="214"/>
      <c r="C52" s="200"/>
      <c r="D52" s="200"/>
      <c r="E52" s="200"/>
      <c r="F52" s="233"/>
      <c r="G52" s="232"/>
      <c r="H52" s="200"/>
      <c r="I52" s="231" t="s">
        <v>136</v>
      </c>
      <c r="J52" s="231"/>
      <c r="K52" s="200"/>
      <c r="L52" s="238">
        <f>'[9]Form 2C - Cost Recovery'!B169</f>
        <v>0</v>
      </c>
      <c r="M52" s="228">
        <f>L52/$L$34</f>
        <v>0</v>
      </c>
    </row>
    <row r="53" spans="2:13" ht="15" x14ac:dyDescent="0.25">
      <c r="B53" s="227" t="s">
        <v>135</v>
      </c>
      <c r="C53" s="212" t="s">
        <v>134</v>
      </c>
      <c r="D53" s="226"/>
      <c r="E53" s="237">
        <f>L9</f>
        <v>44</v>
      </c>
      <c r="F53" s="224"/>
      <c r="G53" s="223"/>
      <c r="H53" s="210" t="s">
        <v>133</v>
      </c>
      <c r="I53" s="212" t="s">
        <v>89</v>
      </c>
      <c r="J53" s="236"/>
      <c r="K53" s="226" t="s">
        <v>88</v>
      </c>
      <c r="L53" s="200"/>
      <c r="M53" s="206"/>
    </row>
    <row r="54" spans="2:13" x14ac:dyDescent="0.2">
      <c r="B54" s="214"/>
      <c r="C54" s="200"/>
      <c r="D54" s="235"/>
      <c r="E54" s="200"/>
      <c r="F54" s="233"/>
      <c r="G54" s="232"/>
      <c r="H54" s="200"/>
      <c r="I54" s="231" t="s">
        <v>132</v>
      </c>
      <c r="J54" s="231"/>
      <c r="K54" s="234">
        <f>B175</f>
        <v>0</v>
      </c>
      <c r="L54" s="229">
        <f>K54*($L$48+$L$49)</f>
        <v>0</v>
      </c>
      <c r="M54" s="228" t="e">
        <f>L54/$L$56</f>
        <v>#DIV/0!</v>
      </c>
    </row>
    <row r="55" spans="2:13" x14ac:dyDescent="0.2">
      <c r="B55" s="214"/>
      <c r="C55" s="200"/>
      <c r="D55" s="200"/>
      <c r="E55" s="200"/>
      <c r="F55" s="233"/>
      <c r="G55" s="232"/>
      <c r="H55" s="200"/>
      <c r="I55" s="231" t="s">
        <v>131</v>
      </c>
      <c r="J55" s="231"/>
      <c r="K55" s="230">
        <v>0.03</v>
      </c>
      <c r="L55" s="229">
        <f>K55*($L$48+$L$49)</f>
        <v>0</v>
      </c>
      <c r="M55" s="228" t="e">
        <f>L55/$L$56</f>
        <v>#DIV/0!</v>
      </c>
    </row>
    <row r="56" spans="2:13" ht="15" x14ac:dyDescent="0.25">
      <c r="B56" s="227" t="s">
        <v>44</v>
      </c>
      <c r="C56" s="212" t="s">
        <v>130</v>
      </c>
      <c r="D56" s="226"/>
      <c r="E56" s="225">
        <f>E48*E53</f>
        <v>220000</v>
      </c>
      <c r="F56" s="224"/>
      <c r="G56" s="223"/>
      <c r="H56" s="210" t="s">
        <v>129</v>
      </c>
      <c r="I56" s="212" t="s">
        <v>128</v>
      </c>
      <c r="J56" s="212"/>
      <c r="K56" s="200"/>
      <c r="L56" s="222">
        <f>SUM(L48:L55)</f>
        <v>0</v>
      </c>
      <c r="M56" s="221" t="e">
        <f>L56/$L$56</f>
        <v>#DIV/0!</v>
      </c>
    </row>
    <row r="57" spans="2:13" ht="15" thickBot="1" x14ac:dyDescent="0.25">
      <c r="B57" s="205"/>
      <c r="C57" s="203"/>
      <c r="D57" s="203"/>
      <c r="E57" s="203"/>
      <c r="F57" s="220"/>
      <c r="G57" s="203"/>
      <c r="H57" s="203"/>
      <c r="I57" s="203"/>
      <c r="J57" s="203"/>
      <c r="K57" s="203"/>
      <c r="L57" s="203"/>
      <c r="M57" s="201"/>
    </row>
    <row r="58" spans="2:13" ht="15" x14ac:dyDescent="0.25">
      <c r="B58" s="210" t="s">
        <v>127</v>
      </c>
      <c r="C58" s="217" t="s">
        <v>126</v>
      </c>
      <c r="D58" s="210"/>
      <c r="E58" s="219" t="e">
        <f>E56/L56</f>
        <v>#DIV/0!</v>
      </c>
      <c r="F58" s="200"/>
      <c r="G58" s="200"/>
      <c r="L58" s="200"/>
      <c r="M58" s="215"/>
    </row>
    <row r="59" spans="2:13" ht="15" x14ac:dyDescent="0.25">
      <c r="B59" s="210" t="s">
        <v>125</v>
      </c>
      <c r="C59" s="217" t="s">
        <v>124</v>
      </c>
      <c r="D59" s="210"/>
      <c r="E59" s="218">
        <f>L56/E48</f>
        <v>0</v>
      </c>
      <c r="F59" s="200"/>
      <c r="G59" s="200"/>
      <c r="L59" s="200"/>
      <c r="M59" s="215"/>
    </row>
    <row r="60" spans="2:13" ht="15" x14ac:dyDescent="0.25">
      <c r="B60" s="210" t="s">
        <v>123</v>
      </c>
      <c r="C60" s="217" t="s">
        <v>122</v>
      </c>
      <c r="D60" s="210"/>
      <c r="E60" s="216">
        <f>E53-E59</f>
        <v>44</v>
      </c>
      <c r="F60" s="200"/>
      <c r="G60" s="200"/>
      <c r="L60" s="200"/>
      <c r="M60" s="215"/>
    </row>
    <row r="61" spans="2:13" ht="15" x14ac:dyDescent="0.25">
      <c r="B61" s="214"/>
      <c r="C61" s="200"/>
      <c r="D61" s="200"/>
      <c r="E61" s="213"/>
      <c r="F61" s="213"/>
      <c r="G61" s="213"/>
      <c r="H61" s="212"/>
      <c r="I61" s="200"/>
      <c r="J61" s="200"/>
      <c r="K61" s="200"/>
      <c r="L61" s="200"/>
      <c r="M61" s="206"/>
    </row>
    <row r="62" spans="2:13" ht="15" x14ac:dyDescent="0.25">
      <c r="B62" s="210" t="s">
        <v>121</v>
      </c>
      <c r="C62" s="212" t="s">
        <v>120</v>
      </c>
      <c r="D62" s="200"/>
      <c r="E62" s="200"/>
      <c r="F62" s="200"/>
      <c r="G62" s="200"/>
      <c r="H62" s="200"/>
      <c r="I62" s="200"/>
      <c r="J62" s="200"/>
      <c r="K62" s="200"/>
      <c r="L62" s="211">
        <f>L9*E48</f>
        <v>220000</v>
      </c>
      <c r="M62" s="206"/>
    </row>
    <row r="63" spans="2:13" ht="15" x14ac:dyDescent="0.25">
      <c r="B63" s="210" t="s">
        <v>119</v>
      </c>
      <c r="C63" s="212" t="s">
        <v>118</v>
      </c>
      <c r="D63" s="200"/>
      <c r="E63" s="200"/>
      <c r="F63" s="200"/>
      <c r="G63" s="200"/>
      <c r="H63" s="200"/>
      <c r="I63" s="200"/>
      <c r="J63" s="200"/>
      <c r="K63" s="200"/>
      <c r="L63" s="211">
        <f>L10*E26</f>
        <v>210000</v>
      </c>
      <c r="M63" s="206"/>
    </row>
    <row r="64" spans="2:13" ht="15.75" thickBot="1" x14ac:dyDescent="0.3">
      <c r="B64" s="210" t="s">
        <v>117</v>
      </c>
      <c r="C64" s="209" t="s">
        <v>116</v>
      </c>
      <c r="D64" s="208"/>
      <c r="E64" s="208"/>
      <c r="F64" s="208"/>
      <c r="G64" s="208"/>
      <c r="H64" s="208"/>
      <c r="I64" s="208"/>
      <c r="J64" s="208"/>
      <c r="K64" s="208"/>
      <c r="L64" s="207">
        <f>L62-L63</f>
        <v>10000</v>
      </c>
      <c r="M64" s="206"/>
    </row>
    <row r="65" spans="2:19" ht="16.5" thickTop="1" thickBot="1" x14ac:dyDescent="0.3">
      <c r="B65" s="205"/>
      <c r="C65" s="204"/>
      <c r="D65" s="203"/>
      <c r="E65" s="203"/>
      <c r="F65" s="203"/>
      <c r="G65" s="203"/>
      <c r="H65" s="203"/>
      <c r="I65" s="203"/>
      <c r="J65" s="203"/>
      <c r="K65" s="203"/>
      <c r="L65" s="202"/>
      <c r="M65" s="201"/>
    </row>
    <row r="66" spans="2:19" ht="19.5" customHeight="1" x14ac:dyDescent="0.2">
      <c r="B66" s="200"/>
      <c r="D66" s="200"/>
      <c r="E66" s="200"/>
      <c r="F66" s="200"/>
      <c r="G66" s="200"/>
      <c r="H66" s="200"/>
      <c r="I66" s="200"/>
      <c r="J66" s="200"/>
      <c r="K66" s="200"/>
      <c r="L66" s="200"/>
      <c r="M66" s="199"/>
    </row>
    <row r="71" spans="2:19" ht="15" x14ac:dyDescent="0.25">
      <c r="B71" s="198" t="s">
        <v>115</v>
      </c>
    </row>
    <row r="72" spans="2:19" ht="15" thickBot="1" x14ac:dyDescent="0.25"/>
    <row r="73" spans="2:19" ht="21" thickBot="1" x14ac:dyDescent="0.25">
      <c r="B73" s="190" t="s">
        <v>114</v>
      </c>
      <c r="C73" s="189"/>
      <c r="D73" s="189"/>
      <c r="E73" s="189"/>
      <c r="F73" s="189"/>
      <c r="G73" s="189"/>
      <c r="H73" s="189"/>
      <c r="I73" s="189"/>
      <c r="J73" s="189"/>
      <c r="K73" s="189"/>
      <c r="L73" s="188"/>
      <c r="M73" s="116"/>
      <c r="N73" s="116"/>
      <c r="O73" s="116"/>
      <c r="P73" s="116"/>
      <c r="Q73" s="116"/>
      <c r="R73" s="116"/>
      <c r="S73" s="116"/>
    </row>
    <row r="74" spans="2:19" ht="20.25" x14ac:dyDescent="0.2">
      <c r="B74" s="187" t="s">
        <v>109</v>
      </c>
      <c r="C74" s="186"/>
      <c r="D74" s="185"/>
      <c r="E74" s="185"/>
      <c r="F74" s="185"/>
      <c r="G74" s="185"/>
      <c r="H74" s="185"/>
      <c r="I74" s="185"/>
      <c r="J74" s="185"/>
      <c r="K74" s="185"/>
      <c r="L74" s="185"/>
      <c r="M74" s="116"/>
      <c r="N74" s="116"/>
      <c r="O74" s="116"/>
      <c r="P74" s="116"/>
      <c r="Q74" s="116"/>
      <c r="R74" s="116"/>
      <c r="S74" s="116"/>
    </row>
    <row r="75" spans="2:19" ht="20.25" x14ac:dyDescent="0.2">
      <c r="B75" s="132" t="s">
        <v>108</v>
      </c>
      <c r="C75" s="127"/>
      <c r="D75" s="127"/>
      <c r="E75" s="127"/>
      <c r="F75" s="127"/>
      <c r="G75" s="127"/>
      <c r="H75" s="116"/>
      <c r="I75" s="163"/>
      <c r="J75" s="163"/>
      <c r="K75" s="163"/>
      <c r="L75" s="163"/>
      <c r="M75" s="116"/>
      <c r="N75" s="116"/>
      <c r="O75" s="116"/>
      <c r="P75" s="116"/>
      <c r="Q75" s="116"/>
      <c r="R75" s="116"/>
      <c r="S75" s="116"/>
    </row>
    <row r="76" spans="2:19" ht="20.25" x14ac:dyDescent="0.2">
      <c r="B76" s="117" t="s">
        <v>107</v>
      </c>
      <c r="C76" s="117"/>
      <c r="D76" s="117"/>
      <c r="E76" s="117"/>
      <c r="F76" s="117"/>
      <c r="G76" s="117"/>
      <c r="H76" s="133"/>
      <c r="I76" s="184"/>
      <c r="J76" s="163"/>
      <c r="K76" s="163"/>
      <c r="L76" s="163"/>
      <c r="M76" s="116"/>
      <c r="N76" s="116"/>
      <c r="O76" s="116"/>
      <c r="P76" s="116"/>
      <c r="Q76" s="116"/>
      <c r="R76" s="116"/>
      <c r="S76" s="116"/>
    </row>
    <row r="77" spans="2:19" ht="20.25" x14ac:dyDescent="0.2">
      <c r="B77" s="117" t="s">
        <v>106</v>
      </c>
      <c r="C77" s="117"/>
      <c r="D77" s="117"/>
      <c r="E77" s="117"/>
      <c r="F77" s="117"/>
      <c r="G77" s="117"/>
      <c r="H77" s="133"/>
      <c r="I77" s="184"/>
      <c r="J77" s="163"/>
      <c r="K77" s="163"/>
      <c r="L77" s="163"/>
      <c r="M77" s="116"/>
      <c r="N77" s="116"/>
      <c r="O77" s="116"/>
      <c r="P77" s="116"/>
      <c r="Q77" s="116"/>
      <c r="R77" s="116"/>
      <c r="S77" s="116"/>
    </row>
    <row r="78" spans="2:19" ht="20.25" x14ac:dyDescent="0.2">
      <c r="B78" s="131"/>
      <c r="C78" s="131"/>
      <c r="D78" s="131"/>
      <c r="E78" s="131"/>
      <c r="F78" s="131"/>
      <c r="G78" s="131"/>
      <c r="H78" s="130"/>
      <c r="I78" s="163"/>
      <c r="J78" s="163"/>
      <c r="K78" s="163"/>
      <c r="L78" s="163"/>
      <c r="M78" s="130"/>
      <c r="N78" s="130"/>
      <c r="O78" s="130"/>
      <c r="P78" s="130"/>
      <c r="Q78" s="130"/>
      <c r="R78" s="130"/>
      <c r="S78" s="130"/>
    </row>
    <row r="79" spans="2:19" ht="51" x14ac:dyDescent="0.2">
      <c r="B79" s="162" t="s">
        <v>105</v>
      </c>
      <c r="C79" s="162" t="s">
        <v>100</v>
      </c>
      <c r="D79" s="183" t="s">
        <v>104</v>
      </c>
      <c r="E79" s="182"/>
      <c r="F79" s="181"/>
      <c r="G79" s="180"/>
      <c r="H79" s="161" t="s">
        <v>103</v>
      </c>
      <c r="I79" s="160"/>
      <c r="J79" s="160"/>
      <c r="K79" s="160"/>
      <c r="L79" s="160"/>
      <c r="M79" s="160"/>
      <c r="N79" s="160"/>
      <c r="O79" s="160"/>
      <c r="P79" s="160"/>
      <c r="Q79" s="160"/>
      <c r="R79" s="160"/>
      <c r="S79" s="160"/>
    </row>
    <row r="80" spans="2:19" ht="15" x14ac:dyDescent="0.25">
      <c r="B80" s="179">
        <v>1234</v>
      </c>
      <c r="C80" s="179" t="s">
        <v>113</v>
      </c>
      <c r="D80" s="934" t="s">
        <v>112</v>
      </c>
      <c r="E80" s="935"/>
      <c r="F80" s="935"/>
      <c r="G80" s="936"/>
      <c r="H80" s="197">
        <v>1.2</v>
      </c>
      <c r="I80" s="116"/>
      <c r="J80" s="116"/>
      <c r="K80" s="116"/>
      <c r="L80" s="116"/>
      <c r="M80" s="116"/>
      <c r="N80" s="116"/>
      <c r="O80" s="116"/>
      <c r="P80" s="116"/>
      <c r="Q80" s="116"/>
      <c r="R80" s="116"/>
      <c r="S80" s="116"/>
    </row>
    <row r="81" spans="2:19" ht="15" x14ac:dyDescent="0.25">
      <c r="B81" s="177"/>
      <c r="C81" s="177"/>
      <c r="D81" s="946"/>
      <c r="E81" s="947"/>
      <c r="F81" s="947"/>
      <c r="G81" s="948"/>
      <c r="H81" s="194"/>
      <c r="I81" s="116"/>
      <c r="J81" s="116"/>
      <c r="K81" s="116"/>
      <c r="L81" s="116"/>
      <c r="M81" s="116"/>
      <c r="N81" s="116"/>
      <c r="O81" s="116"/>
      <c r="P81" s="116"/>
      <c r="Q81" s="116"/>
      <c r="R81" s="116"/>
      <c r="S81" s="116"/>
    </row>
    <row r="82" spans="2:19" ht="15" x14ac:dyDescent="0.25">
      <c r="B82" s="196"/>
      <c r="C82" s="195"/>
      <c r="D82" s="946"/>
      <c r="E82" s="947"/>
      <c r="F82" s="947"/>
      <c r="G82" s="948"/>
      <c r="H82" s="194"/>
      <c r="I82" s="116"/>
      <c r="J82" s="116"/>
      <c r="K82" s="116"/>
      <c r="L82" s="116"/>
      <c r="M82" s="116"/>
      <c r="N82" s="116"/>
      <c r="O82" s="116"/>
      <c r="P82" s="116"/>
      <c r="Q82" s="116"/>
      <c r="R82" s="116"/>
      <c r="S82" s="116"/>
    </row>
    <row r="83" spans="2:19" ht="15" x14ac:dyDescent="0.25">
      <c r="B83" s="193"/>
      <c r="C83" s="192"/>
      <c r="D83" s="937"/>
      <c r="E83" s="938"/>
      <c r="F83" s="938"/>
      <c r="G83" s="939"/>
      <c r="H83" s="191"/>
      <c r="I83" s="116"/>
      <c r="J83" s="116"/>
      <c r="K83" s="116"/>
      <c r="L83" s="116"/>
      <c r="M83" s="116"/>
      <c r="N83" s="116"/>
      <c r="O83" s="116"/>
      <c r="P83" s="116"/>
      <c r="Q83" s="116"/>
      <c r="R83" s="116"/>
      <c r="S83" s="116"/>
    </row>
    <row r="84" spans="2:19" ht="15" x14ac:dyDescent="0.25">
      <c r="B84" s="170"/>
      <c r="C84" s="169"/>
      <c r="D84" s="168"/>
      <c r="E84" s="168"/>
      <c r="F84" s="167"/>
      <c r="G84" s="167"/>
      <c r="H84" s="166"/>
      <c r="I84" s="165"/>
      <c r="J84" s="165"/>
      <c r="K84" s="164"/>
      <c r="L84" s="116"/>
      <c r="M84" s="116"/>
      <c r="N84" s="116"/>
      <c r="O84" s="116"/>
      <c r="P84" s="116"/>
      <c r="Q84" s="116"/>
      <c r="R84" s="116"/>
      <c r="S84" s="116"/>
    </row>
    <row r="85" spans="2:19" ht="20.25" x14ac:dyDescent="0.2">
      <c r="B85" s="117" t="s">
        <v>102</v>
      </c>
      <c r="C85" s="117"/>
      <c r="D85" s="117"/>
      <c r="E85" s="117"/>
      <c r="F85" s="117"/>
      <c r="G85" s="117"/>
      <c r="H85" s="117"/>
      <c r="I85" s="117"/>
      <c r="J85" s="163"/>
      <c r="K85" s="163"/>
      <c r="L85" s="116"/>
      <c r="M85" s="116"/>
      <c r="N85" s="116"/>
      <c r="O85" s="116"/>
      <c r="P85" s="116"/>
      <c r="Q85" s="116"/>
      <c r="R85" s="116"/>
      <c r="S85" s="116"/>
    </row>
    <row r="86" spans="2:19" ht="38.25" x14ac:dyDescent="0.2">
      <c r="B86" s="161" t="s">
        <v>101</v>
      </c>
      <c r="C86" s="161" t="s">
        <v>100</v>
      </c>
      <c r="D86" s="162" t="s">
        <v>99</v>
      </c>
      <c r="E86" s="161" t="s">
        <v>98</v>
      </c>
      <c r="F86" s="161" t="s">
        <v>97</v>
      </c>
      <c r="G86" s="161" t="s">
        <v>96</v>
      </c>
      <c r="H86" s="116"/>
      <c r="I86" s="116"/>
      <c r="J86" s="116"/>
      <c r="K86" s="116"/>
      <c r="L86" s="160"/>
      <c r="M86" s="160"/>
      <c r="N86" s="160"/>
      <c r="O86" s="160"/>
      <c r="P86" s="160"/>
      <c r="Q86" s="160"/>
      <c r="R86" s="160"/>
      <c r="S86" s="160"/>
    </row>
    <row r="87" spans="2:19" x14ac:dyDescent="0.2">
      <c r="B87" s="159">
        <f t="shared" ref="B87:C90" si="0">B80</f>
        <v>1234</v>
      </c>
      <c r="C87" s="158" t="str">
        <f t="shared" si="0"/>
        <v>Test</v>
      </c>
      <c r="D87" s="157">
        <v>145000</v>
      </c>
      <c r="E87" s="156">
        <f>H80*'[9]Form 2C - Cost Recovery'!$D$25</f>
        <v>6000</v>
      </c>
      <c r="F87" s="155">
        <f>D87/2080</f>
        <v>69.711538461538467</v>
      </c>
      <c r="G87" s="154">
        <f>$E87*F87</f>
        <v>418269.23076923081</v>
      </c>
      <c r="H87" s="116"/>
      <c r="I87" s="116"/>
      <c r="J87" s="116"/>
      <c r="K87" s="116"/>
      <c r="L87" s="116"/>
      <c r="M87" s="116"/>
      <c r="N87" s="116"/>
      <c r="O87" s="116"/>
      <c r="P87" s="116"/>
      <c r="Q87" s="116"/>
      <c r="R87" s="116"/>
      <c r="S87" s="116"/>
    </row>
    <row r="88" spans="2:19" x14ac:dyDescent="0.2">
      <c r="B88" s="149">
        <f t="shared" si="0"/>
        <v>0</v>
      </c>
      <c r="C88" s="153">
        <f t="shared" si="0"/>
        <v>0</v>
      </c>
      <c r="D88" s="152"/>
      <c r="E88" s="151">
        <f>H81*'[9]Form 2C - Cost Recovery'!$D$25</f>
        <v>0</v>
      </c>
      <c r="F88" s="145">
        <f>D88/2080</f>
        <v>0</v>
      </c>
      <c r="G88" s="150">
        <f>$E88*F88</f>
        <v>0</v>
      </c>
      <c r="H88" s="116"/>
      <c r="I88" s="116"/>
      <c r="J88" s="116"/>
      <c r="K88" s="116"/>
      <c r="L88" s="116"/>
      <c r="M88" s="116"/>
      <c r="N88" s="116"/>
      <c r="O88" s="116"/>
      <c r="P88" s="116"/>
      <c r="Q88" s="116"/>
      <c r="R88" s="116"/>
      <c r="S88" s="116"/>
    </row>
    <row r="89" spans="2:19" x14ac:dyDescent="0.2">
      <c r="B89" s="149">
        <f t="shared" si="0"/>
        <v>0</v>
      </c>
      <c r="C89" s="153">
        <f t="shared" si="0"/>
        <v>0</v>
      </c>
      <c r="D89" s="152"/>
      <c r="E89" s="151">
        <f>H82*'[9]Form 2C - Cost Recovery'!$D$25</f>
        <v>0</v>
      </c>
      <c r="F89" s="145">
        <f>D89/2080</f>
        <v>0</v>
      </c>
      <c r="G89" s="150">
        <f>$E89*F89</f>
        <v>0</v>
      </c>
      <c r="H89" s="116"/>
      <c r="I89" s="116"/>
      <c r="J89" s="116"/>
      <c r="K89" s="116"/>
      <c r="L89" s="116"/>
      <c r="M89" s="116"/>
      <c r="N89" s="116"/>
      <c r="O89" s="116"/>
      <c r="P89" s="116"/>
      <c r="Q89" s="116"/>
      <c r="R89" s="116"/>
      <c r="S89" s="116"/>
    </row>
    <row r="90" spans="2:19" x14ac:dyDescent="0.2">
      <c r="B90" s="149">
        <f t="shared" si="0"/>
        <v>0</v>
      </c>
      <c r="C90" s="148">
        <f t="shared" si="0"/>
        <v>0</v>
      </c>
      <c r="D90" s="147"/>
      <c r="E90" s="146">
        <f>H83*'[9]Form 2C - Cost Recovery'!$D$25</f>
        <v>0</v>
      </c>
      <c r="F90" s="145">
        <f>D90/2080</f>
        <v>0</v>
      </c>
      <c r="G90" s="144">
        <f>$E90*F90</f>
        <v>0</v>
      </c>
      <c r="H90" s="116"/>
      <c r="I90" s="116"/>
      <c r="J90" s="116"/>
      <c r="K90" s="116"/>
      <c r="L90" s="116"/>
      <c r="M90" s="116"/>
      <c r="N90" s="116"/>
      <c r="O90" s="116"/>
      <c r="P90" s="116"/>
      <c r="Q90" s="116"/>
      <c r="R90" s="116"/>
      <c r="S90" s="116"/>
    </row>
    <row r="91" spans="2:19" x14ac:dyDescent="0.2">
      <c r="B91" s="143"/>
      <c r="C91" s="143"/>
      <c r="D91" s="116"/>
      <c r="E91" s="142"/>
      <c r="F91" s="141" t="s">
        <v>90</v>
      </c>
      <c r="G91" s="140">
        <f>SUM(G87:G90)</f>
        <v>418269.23076923081</v>
      </c>
      <c r="H91" s="116"/>
      <c r="I91" s="116"/>
      <c r="J91" s="116"/>
      <c r="K91" s="116"/>
      <c r="L91" s="116"/>
      <c r="M91" s="116"/>
      <c r="N91" s="116"/>
      <c r="O91" s="116"/>
      <c r="P91" s="116"/>
      <c r="Q91" s="116"/>
      <c r="R91" s="116"/>
      <c r="S91" s="116"/>
    </row>
    <row r="92" spans="2:19" x14ac:dyDescent="0.2">
      <c r="B92" s="139"/>
      <c r="C92" s="138"/>
      <c r="D92" s="137"/>
      <c r="E92" s="136"/>
      <c r="F92" s="136"/>
      <c r="G92" s="135"/>
      <c r="H92" s="116"/>
      <c r="I92" s="116"/>
      <c r="J92" s="116"/>
      <c r="K92" s="116"/>
      <c r="L92" s="116"/>
      <c r="M92" s="116"/>
      <c r="N92" s="116"/>
      <c r="O92" s="116"/>
      <c r="P92" s="116"/>
      <c r="Q92" s="116"/>
      <c r="R92" s="116"/>
      <c r="S92" s="116"/>
    </row>
    <row r="93" spans="2:19" x14ac:dyDescent="0.2">
      <c r="B93" s="116"/>
      <c r="C93" s="116"/>
      <c r="D93" s="116"/>
      <c r="E93" s="116"/>
      <c r="F93" s="116"/>
      <c r="G93" s="116"/>
      <c r="H93" s="116"/>
      <c r="I93" s="116"/>
      <c r="J93" s="116"/>
      <c r="K93" s="116"/>
      <c r="L93" s="116"/>
      <c r="M93" s="116"/>
      <c r="N93" s="116"/>
      <c r="O93" s="116"/>
      <c r="P93" s="116"/>
      <c r="Q93" s="116"/>
      <c r="R93" s="116"/>
      <c r="S93" s="116"/>
    </row>
    <row r="94" spans="2:19" x14ac:dyDescent="0.2">
      <c r="B94" s="132" t="s">
        <v>95</v>
      </c>
      <c r="C94" s="127"/>
      <c r="D94" s="117" t="s">
        <v>92</v>
      </c>
      <c r="E94" s="117"/>
      <c r="F94" s="117"/>
      <c r="G94" s="117"/>
      <c r="H94" s="117"/>
      <c r="I94" s="133"/>
      <c r="J94" s="133"/>
      <c r="K94" s="133"/>
      <c r="L94" s="133"/>
      <c r="M94" s="133"/>
      <c r="N94" s="133"/>
      <c r="O94" s="133"/>
      <c r="P94" s="133"/>
      <c r="Q94" s="133"/>
      <c r="R94" s="133"/>
      <c r="S94" s="133"/>
    </row>
    <row r="95" spans="2:19" x14ac:dyDescent="0.2">
      <c r="B95" s="132"/>
      <c r="C95" s="132" t="s">
        <v>91</v>
      </c>
      <c r="D95" s="132" t="s">
        <v>57</v>
      </c>
      <c r="E95" s="127"/>
      <c r="F95" s="127"/>
      <c r="G95" s="127"/>
      <c r="H95" s="116"/>
      <c r="I95" s="116"/>
      <c r="J95" s="116"/>
      <c r="K95" s="116"/>
      <c r="L95" s="116"/>
      <c r="M95" s="116"/>
      <c r="N95" s="116"/>
      <c r="O95" s="116"/>
      <c r="P95" s="116"/>
      <c r="Q95" s="116"/>
      <c r="R95" s="116"/>
      <c r="S95" s="116"/>
    </row>
    <row r="96" spans="2:19" x14ac:dyDescent="0.2">
      <c r="B96" s="131">
        <v>1</v>
      </c>
      <c r="C96" s="116">
        <v>15000</v>
      </c>
      <c r="D96" s="116" t="s">
        <v>111</v>
      </c>
      <c r="E96" s="116"/>
      <c r="F96" s="116"/>
      <c r="G96" s="116"/>
      <c r="H96" s="116"/>
      <c r="I96" s="116"/>
      <c r="J96" s="116"/>
      <c r="K96" s="116"/>
      <c r="L96" s="116"/>
      <c r="M96" s="116"/>
      <c r="N96" s="116"/>
      <c r="O96" s="116"/>
      <c r="P96" s="116"/>
      <c r="Q96" s="116"/>
      <c r="R96" s="116"/>
      <c r="S96" s="116"/>
    </row>
    <row r="97" spans="2:19" x14ac:dyDescent="0.2">
      <c r="B97" s="131">
        <v>2</v>
      </c>
      <c r="C97" s="131"/>
      <c r="D97" s="131"/>
      <c r="E97" s="131"/>
      <c r="F97" s="131"/>
      <c r="G97" s="131"/>
      <c r="H97" s="130"/>
      <c r="I97" s="116"/>
      <c r="J97" s="116"/>
      <c r="K97" s="116"/>
      <c r="L97" s="116"/>
      <c r="M97" s="116"/>
      <c r="N97" s="116"/>
      <c r="O97" s="116"/>
      <c r="P97" s="116"/>
      <c r="Q97" s="116"/>
      <c r="R97" s="116"/>
      <c r="S97" s="116"/>
    </row>
    <row r="98" spans="2:19" x14ac:dyDescent="0.2">
      <c r="B98" s="131">
        <v>3</v>
      </c>
      <c r="C98" s="131"/>
      <c r="D98" s="131"/>
      <c r="E98" s="131"/>
      <c r="F98" s="131"/>
      <c r="G98" s="131"/>
      <c r="H98" s="130"/>
      <c r="I98" s="116"/>
      <c r="J98" s="116"/>
      <c r="K98" s="116"/>
      <c r="L98" s="116"/>
      <c r="M98" s="116"/>
      <c r="N98" s="116"/>
      <c r="O98" s="116"/>
      <c r="P98" s="116"/>
      <c r="Q98" s="116"/>
      <c r="R98" s="116"/>
      <c r="S98" s="116"/>
    </row>
    <row r="99" spans="2:19" x14ac:dyDescent="0.2">
      <c r="B99" s="127"/>
      <c r="C99" s="127"/>
      <c r="D99" s="127"/>
      <c r="E99" s="127"/>
      <c r="F99" s="127"/>
      <c r="G99" s="127"/>
      <c r="H99" s="116"/>
      <c r="I99" s="116"/>
      <c r="J99" s="116"/>
      <c r="K99" s="116"/>
      <c r="L99" s="116"/>
      <c r="M99" s="116"/>
      <c r="N99" s="116"/>
      <c r="O99" s="116"/>
      <c r="P99" s="116"/>
      <c r="Q99" s="116"/>
      <c r="R99" s="116"/>
      <c r="S99" s="116"/>
    </row>
    <row r="100" spans="2:19" x14ac:dyDescent="0.2">
      <c r="B100" s="129" t="s">
        <v>90</v>
      </c>
      <c r="C100" s="128">
        <f>SUM(C96:C98)</f>
        <v>15000</v>
      </c>
      <c r="D100" s="127"/>
      <c r="E100" s="127"/>
      <c r="F100" s="127"/>
      <c r="G100" s="127"/>
      <c r="H100" s="116"/>
      <c r="I100" s="116"/>
      <c r="J100" s="116"/>
      <c r="K100" s="116"/>
      <c r="L100" s="116"/>
      <c r="M100" s="116"/>
      <c r="N100" s="116"/>
      <c r="O100" s="116"/>
      <c r="P100" s="116"/>
      <c r="Q100" s="116"/>
      <c r="R100" s="116"/>
      <c r="S100" s="116"/>
    </row>
    <row r="101" spans="2:19" x14ac:dyDescent="0.2">
      <c r="B101" s="127"/>
      <c r="C101" s="127"/>
      <c r="D101" s="127"/>
      <c r="E101" s="127"/>
      <c r="F101" s="127"/>
      <c r="G101" s="127"/>
      <c r="H101" s="116"/>
      <c r="I101" s="116"/>
      <c r="J101" s="116"/>
      <c r="K101" s="116"/>
      <c r="L101" s="116"/>
      <c r="M101" s="116"/>
      <c r="N101" s="116"/>
      <c r="O101" s="116"/>
      <c r="P101" s="116"/>
      <c r="Q101" s="116"/>
      <c r="R101" s="116"/>
      <c r="S101" s="116"/>
    </row>
    <row r="102" spans="2:19" x14ac:dyDescent="0.2">
      <c r="B102" s="132" t="s">
        <v>94</v>
      </c>
      <c r="C102" s="127"/>
      <c r="D102" s="117" t="s">
        <v>92</v>
      </c>
      <c r="E102" s="117"/>
      <c r="F102" s="117"/>
      <c r="G102" s="117"/>
      <c r="H102" s="117"/>
      <c r="I102" s="133"/>
      <c r="J102" s="133"/>
      <c r="K102" s="133"/>
      <c r="L102" s="133"/>
      <c r="M102" s="133"/>
      <c r="N102" s="133"/>
      <c r="O102" s="133"/>
      <c r="P102" s="133"/>
      <c r="Q102" s="133"/>
      <c r="R102" s="133"/>
      <c r="S102" s="133"/>
    </row>
    <row r="103" spans="2:19" x14ac:dyDescent="0.2">
      <c r="B103" s="132"/>
      <c r="C103" s="132" t="s">
        <v>91</v>
      </c>
      <c r="D103" s="132" t="s">
        <v>57</v>
      </c>
      <c r="E103" s="131"/>
      <c r="F103" s="131"/>
      <c r="G103" s="131"/>
      <c r="H103" s="116"/>
      <c r="I103" s="116"/>
      <c r="J103" s="116"/>
      <c r="K103" s="116"/>
      <c r="L103" s="116"/>
      <c r="M103" s="116"/>
      <c r="N103" s="116"/>
      <c r="O103" s="116"/>
      <c r="P103" s="116"/>
      <c r="Q103" s="116"/>
      <c r="R103" s="116"/>
      <c r="S103" s="116"/>
    </row>
    <row r="104" spans="2:19" x14ac:dyDescent="0.2">
      <c r="B104" s="131">
        <v>1</v>
      </c>
      <c r="C104" s="116"/>
      <c r="D104" s="116"/>
      <c r="E104" s="116"/>
      <c r="F104" s="116"/>
      <c r="G104" s="116"/>
      <c r="H104" s="116"/>
      <c r="I104" s="116"/>
      <c r="J104" s="116"/>
      <c r="K104" s="116"/>
      <c r="L104" s="116"/>
      <c r="M104" s="116"/>
      <c r="N104" s="116"/>
      <c r="O104" s="116"/>
      <c r="P104" s="116"/>
      <c r="Q104" s="116"/>
      <c r="R104" s="116"/>
      <c r="S104" s="116"/>
    </row>
    <row r="105" spans="2:19" x14ac:dyDescent="0.2">
      <c r="B105" s="131">
        <v>2</v>
      </c>
      <c r="C105" s="131"/>
      <c r="D105" s="131"/>
      <c r="E105" s="131"/>
      <c r="F105" s="131"/>
      <c r="G105" s="131"/>
      <c r="H105" s="130"/>
      <c r="I105" s="116"/>
      <c r="J105" s="116"/>
      <c r="K105" s="116"/>
      <c r="L105" s="116"/>
      <c r="M105" s="116"/>
      <c r="N105" s="116"/>
      <c r="O105" s="116"/>
      <c r="P105" s="116"/>
      <c r="Q105" s="116"/>
      <c r="R105" s="116"/>
      <c r="S105" s="116"/>
    </row>
    <row r="106" spans="2:19" x14ac:dyDescent="0.2">
      <c r="B106" s="131">
        <v>3</v>
      </c>
      <c r="C106" s="131"/>
      <c r="D106" s="131"/>
      <c r="E106" s="131"/>
      <c r="F106" s="131"/>
      <c r="G106" s="131"/>
      <c r="H106" s="130"/>
      <c r="I106" s="116"/>
      <c r="J106" s="116"/>
      <c r="K106" s="116"/>
      <c r="L106" s="116"/>
      <c r="M106" s="116"/>
      <c r="N106" s="116"/>
      <c r="O106" s="116"/>
      <c r="P106" s="116"/>
      <c r="Q106" s="116"/>
      <c r="R106" s="116"/>
      <c r="S106" s="116"/>
    </row>
    <row r="107" spans="2:19" x14ac:dyDescent="0.2">
      <c r="B107" s="127"/>
      <c r="C107" s="127"/>
      <c r="D107" s="127"/>
      <c r="E107" s="127"/>
      <c r="F107" s="127"/>
      <c r="G107" s="127"/>
      <c r="H107" s="116"/>
      <c r="I107" s="116"/>
      <c r="J107" s="116"/>
      <c r="K107" s="116"/>
      <c r="L107" s="116"/>
      <c r="M107" s="116"/>
      <c r="N107" s="116"/>
      <c r="O107" s="116"/>
      <c r="P107" s="116"/>
      <c r="Q107" s="116"/>
      <c r="R107" s="116"/>
      <c r="S107" s="116"/>
    </row>
    <row r="108" spans="2:19" x14ac:dyDescent="0.2">
      <c r="B108" s="129" t="s">
        <v>90</v>
      </c>
      <c r="C108" s="128">
        <f>SUM(C104:C106)</f>
        <v>0</v>
      </c>
      <c r="D108" s="127"/>
      <c r="E108" s="127"/>
      <c r="F108" s="127"/>
      <c r="G108" s="127"/>
      <c r="H108" s="116"/>
      <c r="I108" s="116"/>
      <c r="J108" s="116"/>
      <c r="K108" s="116"/>
      <c r="L108" s="116"/>
      <c r="M108" s="116"/>
      <c r="N108" s="116"/>
      <c r="O108" s="116"/>
      <c r="P108" s="116"/>
      <c r="Q108" s="116"/>
      <c r="R108" s="116"/>
      <c r="S108" s="116"/>
    </row>
    <row r="109" spans="2:19" x14ac:dyDescent="0.2">
      <c r="B109" s="132"/>
      <c r="C109" s="134"/>
      <c r="D109" s="127"/>
      <c r="E109" s="127"/>
      <c r="F109" s="127"/>
      <c r="G109" s="127"/>
      <c r="H109" s="116"/>
      <c r="I109" s="116"/>
      <c r="J109" s="116"/>
      <c r="K109" s="116"/>
      <c r="L109" s="116"/>
      <c r="M109" s="116"/>
      <c r="N109" s="116"/>
      <c r="O109" s="116"/>
      <c r="P109" s="116"/>
      <c r="Q109" s="116"/>
      <c r="R109" s="116"/>
      <c r="S109" s="116"/>
    </row>
    <row r="110" spans="2:19" x14ac:dyDescent="0.2">
      <c r="B110" s="132" t="s">
        <v>93</v>
      </c>
      <c r="C110" s="127"/>
      <c r="D110" s="117" t="s">
        <v>92</v>
      </c>
      <c r="E110" s="117"/>
      <c r="F110" s="117"/>
      <c r="G110" s="117"/>
      <c r="H110" s="117"/>
      <c r="I110" s="133"/>
      <c r="J110" s="133"/>
      <c r="K110" s="133"/>
      <c r="L110" s="133"/>
      <c r="M110" s="133"/>
      <c r="N110" s="133"/>
      <c r="O110" s="133"/>
      <c r="P110" s="133"/>
      <c r="Q110" s="133"/>
      <c r="R110" s="133"/>
      <c r="S110" s="133"/>
    </row>
    <row r="111" spans="2:19" x14ac:dyDescent="0.2">
      <c r="B111" s="132"/>
      <c r="C111" s="132" t="s">
        <v>91</v>
      </c>
      <c r="D111" s="132" t="s">
        <v>57</v>
      </c>
      <c r="E111" s="131"/>
      <c r="F111" s="131"/>
      <c r="G111" s="131"/>
      <c r="H111" s="116"/>
      <c r="I111" s="116"/>
      <c r="J111" s="116"/>
      <c r="K111" s="116"/>
      <c r="L111" s="116"/>
      <c r="M111" s="116"/>
      <c r="N111" s="116"/>
      <c r="O111" s="116"/>
      <c r="P111" s="116"/>
      <c r="Q111" s="116"/>
      <c r="R111" s="116"/>
      <c r="S111" s="116"/>
    </row>
    <row r="112" spans="2:19" x14ac:dyDescent="0.2">
      <c r="B112" s="131">
        <v>1</v>
      </c>
      <c r="C112" s="116"/>
      <c r="D112" s="116"/>
      <c r="E112" s="116"/>
      <c r="F112" s="116"/>
      <c r="G112" s="116"/>
      <c r="H112" s="116"/>
      <c r="I112" s="116"/>
      <c r="J112" s="116"/>
      <c r="K112" s="116"/>
      <c r="L112" s="116"/>
      <c r="M112" s="116"/>
      <c r="N112" s="116"/>
      <c r="O112" s="116"/>
      <c r="P112" s="116"/>
      <c r="Q112" s="116"/>
      <c r="R112" s="116"/>
      <c r="S112" s="116"/>
    </row>
    <row r="113" spans="2:19" x14ac:dyDescent="0.2">
      <c r="B113" s="131">
        <v>2</v>
      </c>
      <c r="C113" s="131"/>
      <c r="D113" s="131"/>
      <c r="E113" s="131"/>
      <c r="F113" s="131"/>
      <c r="G113" s="131"/>
      <c r="H113" s="130"/>
      <c r="I113" s="116"/>
      <c r="J113" s="116"/>
      <c r="K113" s="116"/>
      <c r="L113" s="116"/>
      <c r="M113" s="116"/>
      <c r="N113" s="116"/>
      <c r="O113" s="116"/>
      <c r="P113" s="116"/>
      <c r="Q113" s="116"/>
      <c r="R113" s="116"/>
      <c r="S113" s="116"/>
    </row>
    <row r="114" spans="2:19" x14ac:dyDescent="0.2">
      <c r="B114" s="131">
        <v>3</v>
      </c>
      <c r="C114" s="131"/>
      <c r="D114" s="131"/>
      <c r="E114" s="131"/>
      <c r="F114" s="131"/>
      <c r="G114" s="131"/>
      <c r="H114" s="130"/>
      <c r="I114" s="116"/>
      <c r="J114" s="116"/>
      <c r="K114" s="116"/>
      <c r="L114" s="116"/>
      <c r="M114" s="116"/>
      <c r="N114" s="116"/>
      <c r="O114" s="116"/>
      <c r="P114" s="116"/>
      <c r="Q114" s="116"/>
      <c r="R114" s="116"/>
      <c r="S114" s="116"/>
    </row>
    <row r="115" spans="2:19" x14ac:dyDescent="0.2">
      <c r="B115" s="127"/>
      <c r="C115" s="127"/>
      <c r="D115" s="127"/>
      <c r="E115" s="127"/>
      <c r="F115" s="127"/>
      <c r="G115" s="127"/>
      <c r="H115" s="116"/>
      <c r="I115" s="116"/>
      <c r="J115" s="116"/>
      <c r="K115" s="116"/>
      <c r="L115" s="116"/>
      <c r="M115" s="116"/>
      <c r="N115" s="116"/>
      <c r="O115" s="116"/>
      <c r="P115" s="116"/>
      <c r="Q115" s="116"/>
      <c r="R115" s="116"/>
      <c r="S115" s="116"/>
    </row>
    <row r="116" spans="2:19" x14ac:dyDescent="0.2">
      <c r="B116" s="129" t="s">
        <v>90</v>
      </c>
      <c r="C116" s="128">
        <f>SUM(C112:C114)</f>
        <v>0</v>
      </c>
      <c r="D116" s="127"/>
      <c r="E116" s="127"/>
      <c r="F116" s="127"/>
      <c r="G116" s="127"/>
      <c r="H116" s="116"/>
      <c r="I116" s="116"/>
      <c r="J116" s="116"/>
      <c r="K116" s="116"/>
      <c r="L116" s="116"/>
      <c r="M116" s="116"/>
      <c r="N116" s="116"/>
      <c r="O116" s="116"/>
      <c r="P116" s="116"/>
      <c r="Q116" s="116"/>
      <c r="R116" s="116"/>
      <c r="S116" s="116"/>
    </row>
    <row r="117" spans="2:19" ht="15.75" thickBot="1" x14ac:dyDescent="0.3">
      <c r="B117" s="127"/>
      <c r="C117" s="127"/>
      <c r="D117" s="127"/>
      <c r="E117" s="127"/>
      <c r="F117" s="127"/>
      <c r="G117" s="127"/>
      <c r="H117" s="120"/>
      <c r="I117" s="120"/>
      <c r="J117" s="116"/>
      <c r="K117" s="116"/>
      <c r="L117" s="116"/>
      <c r="M117" s="116"/>
      <c r="N117" s="116"/>
      <c r="O117" s="116"/>
      <c r="P117" s="116"/>
      <c r="Q117" s="116"/>
      <c r="R117" s="116"/>
      <c r="S117" s="116"/>
    </row>
    <row r="118" spans="2:19" ht="20.25" x14ac:dyDescent="0.25">
      <c r="B118" s="126" t="s">
        <v>89</v>
      </c>
      <c r="C118" s="126"/>
      <c r="D118" s="125"/>
      <c r="E118" s="125"/>
      <c r="F118" s="124"/>
      <c r="G118" s="124"/>
      <c r="H118" s="120"/>
      <c r="I118" s="120"/>
      <c r="J118" s="120"/>
      <c r="K118" s="120"/>
      <c r="L118" s="120"/>
      <c r="M118" s="120"/>
      <c r="N118" s="120"/>
      <c r="O118" s="120"/>
      <c r="P118" s="120"/>
      <c r="Q118" s="120"/>
      <c r="R118" s="120"/>
      <c r="S118" s="120"/>
    </row>
    <row r="119" spans="2:19" ht="15" x14ac:dyDescent="0.25">
      <c r="B119" s="123"/>
      <c r="C119" s="123"/>
      <c r="D119" s="120"/>
      <c r="E119" s="120"/>
      <c r="F119" s="122"/>
      <c r="G119" s="122"/>
      <c r="H119" s="120"/>
      <c r="I119" s="120"/>
      <c r="J119" s="120"/>
      <c r="K119" s="120"/>
      <c r="L119" s="120"/>
      <c r="M119" s="120"/>
      <c r="N119" s="120"/>
      <c r="O119" s="120"/>
      <c r="P119" s="120"/>
      <c r="Q119" s="120"/>
      <c r="R119" s="120"/>
      <c r="S119" s="120"/>
    </row>
    <row r="120" spans="2:19" ht="15" x14ac:dyDescent="0.25">
      <c r="B120" s="121" t="s">
        <v>88</v>
      </c>
      <c r="C120" s="121" t="s">
        <v>87</v>
      </c>
      <c r="D120" s="120"/>
      <c r="E120" s="120"/>
      <c r="F120" s="120"/>
      <c r="G120" s="120"/>
      <c r="H120" s="116"/>
      <c r="I120" s="116"/>
      <c r="J120" s="116"/>
      <c r="K120" s="116"/>
      <c r="L120" s="120"/>
      <c r="M120" s="120"/>
      <c r="N120" s="120"/>
      <c r="O120" s="120"/>
      <c r="P120" s="120"/>
      <c r="Q120" s="120"/>
      <c r="R120" s="120"/>
      <c r="S120" s="120"/>
    </row>
    <row r="121" spans="2:19" x14ac:dyDescent="0.2">
      <c r="B121" s="119">
        <v>0.2</v>
      </c>
      <c r="C121" s="118" t="s">
        <v>86</v>
      </c>
      <c r="D121" s="117"/>
      <c r="E121" s="117"/>
      <c r="F121" s="117"/>
      <c r="G121" s="117"/>
      <c r="H121" s="117"/>
      <c r="I121" s="116"/>
      <c r="J121" s="116"/>
      <c r="K121" s="116"/>
      <c r="L121" s="116"/>
      <c r="M121" s="116"/>
      <c r="N121" s="116"/>
      <c r="O121" s="116"/>
      <c r="P121" s="116"/>
      <c r="Q121" s="116"/>
      <c r="R121" s="116"/>
      <c r="S121" s="116"/>
    </row>
    <row r="126" spans="2:19" ht="15" thickBot="1" x14ac:dyDescent="0.25"/>
    <row r="127" spans="2:19" ht="21" thickBot="1" x14ac:dyDescent="0.25">
      <c r="B127" s="190" t="s">
        <v>110</v>
      </c>
      <c r="C127" s="189"/>
      <c r="D127" s="189"/>
      <c r="E127" s="189"/>
      <c r="F127" s="189"/>
      <c r="G127" s="189"/>
      <c r="H127" s="189"/>
      <c r="I127" s="189"/>
      <c r="J127" s="189"/>
      <c r="K127" s="189"/>
      <c r="L127" s="188"/>
      <c r="M127" s="116"/>
      <c r="N127" s="116"/>
      <c r="O127" s="116"/>
      <c r="P127" s="116"/>
      <c r="Q127" s="116"/>
      <c r="R127" s="116"/>
    </row>
    <row r="128" spans="2:19" ht="20.25" x14ac:dyDescent="0.2">
      <c r="B128" s="187" t="s">
        <v>109</v>
      </c>
      <c r="C128" s="186"/>
      <c r="D128" s="185"/>
      <c r="E128" s="185"/>
      <c r="F128" s="185"/>
      <c r="G128" s="185"/>
      <c r="H128" s="185"/>
      <c r="I128" s="185"/>
      <c r="J128" s="185"/>
      <c r="K128" s="185"/>
      <c r="L128" s="185"/>
      <c r="M128" s="116"/>
      <c r="N128" s="116"/>
      <c r="O128" s="116"/>
      <c r="P128" s="116"/>
      <c r="Q128" s="116"/>
      <c r="R128" s="116"/>
    </row>
    <row r="129" spans="2:18" ht="20.25" x14ac:dyDescent="0.2">
      <c r="B129" s="132" t="s">
        <v>108</v>
      </c>
      <c r="C129" s="127"/>
      <c r="D129" s="127"/>
      <c r="E129" s="127"/>
      <c r="F129" s="127"/>
      <c r="G129" s="127"/>
      <c r="H129" s="116"/>
      <c r="I129" s="163"/>
      <c r="J129" s="163"/>
      <c r="K129" s="163"/>
      <c r="L129" s="163"/>
      <c r="M129" s="116"/>
      <c r="N129" s="116"/>
      <c r="O129" s="116"/>
      <c r="P129" s="116"/>
      <c r="Q129" s="116"/>
      <c r="R129" s="116"/>
    </row>
    <row r="130" spans="2:18" ht="20.25" x14ac:dyDescent="0.2">
      <c r="B130" s="117" t="s">
        <v>107</v>
      </c>
      <c r="C130" s="117"/>
      <c r="D130" s="117"/>
      <c r="E130" s="117"/>
      <c r="F130" s="117"/>
      <c r="G130" s="117"/>
      <c r="H130" s="133"/>
      <c r="I130" s="184"/>
      <c r="J130" s="163"/>
      <c r="K130" s="163"/>
      <c r="L130" s="163"/>
      <c r="M130" s="116"/>
      <c r="N130" s="116"/>
      <c r="O130" s="116"/>
      <c r="P130" s="116"/>
      <c r="Q130" s="116"/>
      <c r="R130" s="116"/>
    </row>
    <row r="131" spans="2:18" ht="20.25" x14ac:dyDescent="0.2">
      <c r="B131" s="117" t="s">
        <v>106</v>
      </c>
      <c r="C131" s="117"/>
      <c r="D131" s="117"/>
      <c r="E131" s="117"/>
      <c r="F131" s="117"/>
      <c r="G131" s="117"/>
      <c r="H131" s="133"/>
      <c r="I131" s="184"/>
      <c r="J131" s="163"/>
      <c r="K131" s="163"/>
      <c r="L131" s="163"/>
      <c r="M131" s="116"/>
      <c r="N131" s="116"/>
      <c r="O131" s="116"/>
      <c r="P131" s="116"/>
      <c r="Q131" s="116"/>
      <c r="R131" s="116"/>
    </row>
    <row r="132" spans="2:18" ht="20.25" x14ac:dyDescent="0.2">
      <c r="B132" s="131"/>
      <c r="C132" s="131"/>
      <c r="D132" s="131"/>
      <c r="E132" s="131"/>
      <c r="F132" s="131"/>
      <c r="G132" s="131"/>
      <c r="H132" s="130"/>
      <c r="I132" s="163"/>
      <c r="J132" s="163"/>
      <c r="K132" s="163"/>
      <c r="L132" s="163"/>
      <c r="M132" s="130"/>
      <c r="N132" s="130"/>
      <c r="O132" s="130"/>
      <c r="P132" s="130"/>
      <c r="Q132" s="130"/>
      <c r="R132" s="130"/>
    </row>
    <row r="133" spans="2:18" ht="51" x14ac:dyDescent="0.2">
      <c r="B133" s="162" t="s">
        <v>105</v>
      </c>
      <c r="C133" s="162" t="s">
        <v>100</v>
      </c>
      <c r="D133" s="183" t="s">
        <v>104</v>
      </c>
      <c r="E133" s="182"/>
      <c r="F133" s="181"/>
      <c r="G133" s="180"/>
      <c r="H133" s="161" t="s">
        <v>103</v>
      </c>
      <c r="I133" s="160"/>
      <c r="J133" s="160"/>
      <c r="K133" s="160"/>
      <c r="L133" s="160"/>
      <c r="M133" s="160"/>
      <c r="N133" s="160"/>
      <c r="O133" s="160"/>
      <c r="P133" s="160"/>
      <c r="Q133" s="160"/>
      <c r="R133" s="160"/>
    </row>
    <row r="134" spans="2:18" ht="15" x14ac:dyDescent="0.25">
      <c r="B134" s="179"/>
      <c r="C134" s="179"/>
      <c r="D134" s="940"/>
      <c r="E134" s="941"/>
      <c r="F134" s="941"/>
      <c r="G134" s="942"/>
      <c r="H134" s="178"/>
      <c r="I134" s="116"/>
      <c r="J134" s="116"/>
      <c r="K134" s="116"/>
      <c r="L134" s="116"/>
      <c r="M134" s="116"/>
      <c r="N134" s="116"/>
      <c r="O134" s="116"/>
      <c r="P134" s="116"/>
      <c r="Q134" s="116"/>
      <c r="R134" s="116"/>
    </row>
    <row r="135" spans="2:18" ht="15" x14ac:dyDescent="0.25">
      <c r="B135" s="177"/>
      <c r="C135" s="177"/>
      <c r="D135" s="943"/>
      <c r="E135" s="944"/>
      <c r="F135" s="944"/>
      <c r="G135" s="945"/>
      <c r="H135" s="174"/>
      <c r="I135" s="116"/>
      <c r="J135" s="116"/>
      <c r="K135" s="116"/>
      <c r="L135" s="116"/>
      <c r="M135" s="116"/>
      <c r="N135" s="116"/>
      <c r="O135" s="116"/>
      <c r="P135" s="116"/>
      <c r="Q135" s="116"/>
      <c r="R135" s="116"/>
    </row>
    <row r="136" spans="2:18" ht="15" x14ac:dyDescent="0.25">
      <c r="B136" s="176"/>
      <c r="C136" s="175"/>
      <c r="D136" s="943"/>
      <c r="E136" s="944"/>
      <c r="F136" s="944"/>
      <c r="G136" s="945"/>
      <c r="H136" s="174"/>
      <c r="I136" s="116"/>
      <c r="J136" s="116"/>
      <c r="K136" s="116"/>
      <c r="L136" s="116"/>
      <c r="M136" s="116"/>
      <c r="N136" s="116"/>
      <c r="O136" s="116"/>
      <c r="P136" s="116"/>
      <c r="Q136" s="116"/>
      <c r="R136" s="116"/>
    </row>
    <row r="137" spans="2:18" ht="15" x14ac:dyDescent="0.25">
      <c r="B137" s="173"/>
      <c r="C137" s="172"/>
      <c r="D137" s="931"/>
      <c r="E137" s="932"/>
      <c r="F137" s="932"/>
      <c r="G137" s="933"/>
      <c r="H137" s="171"/>
      <c r="I137" s="116"/>
      <c r="J137" s="116"/>
      <c r="K137" s="116"/>
      <c r="L137" s="116"/>
      <c r="M137" s="116"/>
      <c r="N137" s="116"/>
      <c r="O137" s="116"/>
      <c r="P137" s="116"/>
      <c r="Q137" s="116"/>
      <c r="R137" s="116"/>
    </row>
    <row r="138" spans="2:18" ht="15" x14ac:dyDescent="0.25">
      <c r="B138" s="170"/>
      <c r="C138" s="169"/>
      <c r="D138" s="168"/>
      <c r="E138" s="168"/>
      <c r="F138" s="167"/>
      <c r="G138" s="167"/>
      <c r="H138" s="166"/>
      <c r="I138" s="165"/>
      <c r="J138" s="165"/>
      <c r="K138" s="164"/>
      <c r="L138" s="116"/>
      <c r="M138" s="116"/>
      <c r="N138" s="116"/>
      <c r="O138" s="116"/>
      <c r="P138" s="116"/>
      <c r="Q138" s="116"/>
      <c r="R138" s="116"/>
    </row>
    <row r="139" spans="2:18" ht="20.25" x14ac:dyDescent="0.2">
      <c r="B139" s="117" t="s">
        <v>102</v>
      </c>
      <c r="C139" s="117"/>
      <c r="D139" s="117"/>
      <c r="E139" s="117"/>
      <c r="F139" s="117"/>
      <c r="G139" s="117"/>
      <c r="H139" s="117"/>
      <c r="I139" s="117"/>
      <c r="J139" s="163"/>
      <c r="K139" s="163"/>
      <c r="L139" s="116"/>
      <c r="M139" s="116"/>
      <c r="N139" s="116"/>
      <c r="O139" s="116"/>
      <c r="P139" s="116"/>
      <c r="Q139" s="116"/>
      <c r="R139" s="116"/>
    </row>
    <row r="140" spans="2:18" ht="38.25" x14ac:dyDescent="0.2">
      <c r="B140" s="161" t="s">
        <v>101</v>
      </c>
      <c r="C140" s="161" t="s">
        <v>100</v>
      </c>
      <c r="D140" s="162" t="s">
        <v>99</v>
      </c>
      <c r="E140" s="161" t="s">
        <v>98</v>
      </c>
      <c r="F140" s="161" t="s">
        <v>97</v>
      </c>
      <c r="G140" s="161" t="s">
        <v>96</v>
      </c>
      <c r="H140" s="116"/>
      <c r="I140" s="116"/>
      <c r="J140" s="116"/>
      <c r="K140" s="116"/>
      <c r="L140" s="160"/>
      <c r="M140" s="160"/>
      <c r="N140" s="160"/>
      <c r="O140" s="160"/>
      <c r="P140" s="160"/>
      <c r="Q140" s="160"/>
      <c r="R140" s="160"/>
    </row>
    <row r="141" spans="2:18" x14ac:dyDescent="0.2">
      <c r="B141" s="159">
        <f t="shared" ref="B141:C144" si="1">B134</f>
        <v>0</v>
      </c>
      <c r="C141" s="158">
        <f t="shared" si="1"/>
        <v>0</v>
      </c>
      <c r="D141" s="157"/>
      <c r="E141" s="156">
        <f>H134*'[9]Form 2C - Cost Recovery'!$D$25</f>
        <v>0</v>
      </c>
      <c r="F141" s="155">
        <f>D141/2080</f>
        <v>0</v>
      </c>
      <c r="G141" s="154">
        <f>$E141*F141</f>
        <v>0</v>
      </c>
      <c r="H141" s="116"/>
      <c r="I141" s="116"/>
      <c r="J141" s="116"/>
      <c r="K141" s="116"/>
      <c r="L141" s="116"/>
      <c r="M141" s="116"/>
      <c r="N141" s="116"/>
      <c r="O141" s="116"/>
      <c r="P141" s="116"/>
      <c r="Q141" s="116"/>
      <c r="R141" s="116"/>
    </row>
    <row r="142" spans="2:18" x14ac:dyDescent="0.2">
      <c r="B142" s="149">
        <f t="shared" si="1"/>
        <v>0</v>
      </c>
      <c r="C142" s="153">
        <f t="shared" si="1"/>
        <v>0</v>
      </c>
      <c r="D142" s="152"/>
      <c r="E142" s="151">
        <f>H135*'[9]Form 2C - Cost Recovery'!$D$25</f>
        <v>0</v>
      </c>
      <c r="F142" s="145">
        <f>D142/2080</f>
        <v>0</v>
      </c>
      <c r="G142" s="150">
        <f>$E142*F142</f>
        <v>0</v>
      </c>
      <c r="H142" s="116"/>
      <c r="I142" s="116"/>
      <c r="J142" s="116"/>
      <c r="K142" s="116"/>
      <c r="L142" s="116"/>
      <c r="M142" s="116"/>
      <c r="N142" s="116"/>
      <c r="O142" s="116"/>
      <c r="P142" s="116"/>
      <c r="Q142" s="116"/>
      <c r="R142" s="116"/>
    </row>
    <row r="143" spans="2:18" x14ac:dyDescent="0.2">
      <c r="B143" s="149">
        <f t="shared" si="1"/>
        <v>0</v>
      </c>
      <c r="C143" s="153">
        <f t="shared" si="1"/>
        <v>0</v>
      </c>
      <c r="D143" s="152"/>
      <c r="E143" s="151">
        <f>H136*'[9]Form 2C - Cost Recovery'!$D$25</f>
        <v>0</v>
      </c>
      <c r="F143" s="145">
        <f>D143/2080</f>
        <v>0</v>
      </c>
      <c r="G143" s="150">
        <f>$E143*F143</f>
        <v>0</v>
      </c>
      <c r="H143" s="116"/>
      <c r="I143" s="116"/>
      <c r="J143" s="116"/>
      <c r="K143" s="116"/>
      <c r="L143" s="116"/>
      <c r="M143" s="116"/>
      <c r="N143" s="116"/>
      <c r="O143" s="116"/>
      <c r="P143" s="116"/>
      <c r="Q143" s="116"/>
      <c r="R143" s="116"/>
    </row>
    <row r="144" spans="2:18" x14ac:dyDescent="0.2">
      <c r="B144" s="149">
        <f t="shared" si="1"/>
        <v>0</v>
      </c>
      <c r="C144" s="148">
        <f t="shared" si="1"/>
        <v>0</v>
      </c>
      <c r="D144" s="147"/>
      <c r="E144" s="146">
        <f>H137*'[9]Form 2C - Cost Recovery'!$D$25</f>
        <v>0</v>
      </c>
      <c r="F144" s="145">
        <f>D144/2080</f>
        <v>0</v>
      </c>
      <c r="G144" s="144">
        <f>$E144*F144</f>
        <v>0</v>
      </c>
      <c r="H144" s="116"/>
      <c r="I144" s="116"/>
      <c r="J144" s="116"/>
      <c r="K144" s="116"/>
      <c r="L144" s="116"/>
      <c r="M144" s="116"/>
      <c r="N144" s="116"/>
      <c r="O144" s="116"/>
      <c r="P144" s="116"/>
      <c r="Q144" s="116"/>
      <c r="R144" s="116"/>
    </row>
    <row r="145" spans="2:18" x14ac:dyDescent="0.2">
      <c r="B145" s="143"/>
      <c r="C145" s="143"/>
      <c r="D145" s="116"/>
      <c r="E145" s="142"/>
      <c r="F145" s="141" t="s">
        <v>90</v>
      </c>
      <c r="G145" s="140">
        <f>SUM(G141:G144)</f>
        <v>0</v>
      </c>
      <c r="H145" s="116"/>
      <c r="I145" s="116"/>
      <c r="J145" s="116"/>
      <c r="K145" s="116"/>
      <c r="L145" s="116"/>
      <c r="M145" s="116"/>
      <c r="N145" s="116"/>
      <c r="O145" s="116"/>
      <c r="P145" s="116"/>
      <c r="Q145" s="116"/>
      <c r="R145" s="116"/>
    </row>
    <row r="146" spans="2:18" x14ac:dyDescent="0.2">
      <c r="B146" s="139"/>
      <c r="C146" s="138"/>
      <c r="D146" s="137"/>
      <c r="E146" s="136"/>
      <c r="F146" s="136"/>
      <c r="G146" s="135"/>
      <c r="H146" s="116"/>
      <c r="I146" s="116"/>
      <c r="J146" s="116"/>
      <c r="K146" s="116"/>
      <c r="L146" s="116"/>
      <c r="M146" s="116"/>
      <c r="N146" s="116"/>
      <c r="O146" s="116"/>
      <c r="P146" s="116"/>
      <c r="Q146" s="116"/>
      <c r="R146" s="116"/>
    </row>
    <row r="147" spans="2:18" x14ac:dyDescent="0.2">
      <c r="B147" s="116"/>
      <c r="C147" s="116"/>
      <c r="D147" s="116"/>
      <c r="E147" s="116"/>
      <c r="F147" s="116"/>
      <c r="G147" s="116"/>
      <c r="H147" s="116"/>
      <c r="I147" s="116"/>
      <c r="J147" s="116"/>
      <c r="K147" s="116"/>
      <c r="L147" s="116"/>
      <c r="M147" s="116"/>
      <c r="N147" s="116"/>
      <c r="O147" s="116"/>
      <c r="P147" s="116"/>
      <c r="Q147" s="116"/>
      <c r="R147" s="116"/>
    </row>
    <row r="148" spans="2:18" x14ac:dyDescent="0.2">
      <c r="B148" s="132" t="s">
        <v>95</v>
      </c>
      <c r="C148" s="127"/>
      <c r="D148" s="117" t="s">
        <v>92</v>
      </c>
      <c r="E148" s="117"/>
      <c r="F148" s="117"/>
      <c r="G148" s="117"/>
      <c r="H148" s="117"/>
      <c r="I148" s="133"/>
      <c r="J148" s="133"/>
      <c r="K148" s="133"/>
      <c r="L148" s="133"/>
      <c r="M148" s="133"/>
      <c r="N148" s="133"/>
      <c r="O148" s="133"/>
      <c r="P148" s="133"/>
      <c r="Q148" s="133"/>
      <c r="R148" s="133"/>
    </row>
    <row r="149" spans="2:18" x14ac:dyDescent="0.2">
      <c r="B149" s="132"/>
      <c r="C149" s="132" t="s">
        <v>91</v>
      </c>
      <c r="D149" s="132" t="s">
        <v>57</v>
      </c>
      <c r="E149" s="127"/>
      <c r="F149" s="127"/>
      <c r="G149" s="127"/>
      <c r="H149" s="116"/>
      <c r="I149" s="116"/>
      <c r="J149" s="116"/>
      <c r="K149" s="116"/>
      <c r="L149" s="116"/>
      <c r="M149" s="116"/>
      <c r="N149" s="116"/>
      <c r="O149" s="116"/>
      <c r="P149" s="116"/>
      <c r="Q149" s="116"/>
      <c r="R149" s="116"/>
    </row>
    <row r="150" spans="2:18" x14ac:dyDescent="0.2">
      <c r="B150" s="131">
        <v>1</v>
      </c>
      <c r="C150" s="116"/>
      <c r="D150" s="116"/>
      <c r="E150" s="116"/>
      <c r="F150" s="116"/>
      <c r="G150" s="116"/>
      <c r="H150" s="116"/>
      <c r="I150" s="116"/>
      <c r="J150" s="116"/>
      <c r="K150" s="116"/>
      <c r="L150" s="116"/>
      <c r="M150" s="116"/>
      <c r="N150" s="116"/>
      <c r="O150" s="116"/>
      <c r="P150" s="116"/>
      <c r="Q150" s="116"/>
      <c r="R150" s="116"/>
    </row>
    <row r="151" spans="2:18" x14ac:dyDescent="0.2">
      <c r="B151" s="131">
        <v>2</v>
      </c>
      <c r="C151" s="131"/>
      <c r="D151" s="131"/>
      <c r="E151" s="131"/>
      <c r="F151" s="131"/>
      <c r="G151" s="131"/>
      <c r="H151" s="130"/>
      <c r="I151" s="116"/>
      <c r="J151" s="116"/>
      <c r="K151" s="116"/>
      <c r="L151" s="116"/>
      <c r="M151" s="116"/>
      <c r="N151" s="116"/>
      <c r="O151" s="116"/>
      <c r="P151" s="116"/>
      <c r="Q151" s="116"/>
      <c r="R151" s="116"/>
    </row>
    <row r="152" spans="2:18" x14ac:dyDescent="0.2">
      <c r="B152" s="131">
        <v>3</v>
      </c>
      <c r="C152" s="131"/>
      <c r="D152" s="131"/>
      <c r="E152" s="131"/>
      <c r="F152" s="131"/>
      <c r="G152" s="131"/>
      <c r="H152" s="130"/>
      <c r="I152" s="116"/>
      <c r="J152" s="116"/>
      <c r="K152" s="116"/>
      <c r="L152" s="116"/>
      <c r="M152" s="116"/>
      <c r="N152" s="116"/>
      <c r="O152" s="116"/>
      <c r="P152" s="116"/>
      <c r="Q152" s="116"/>
      <c r="R152" s="116"/>
    </row>
    <row r="153" spans="2:18" x14ac:dyDescent="0.2">
      <c r="B153" s="127"/>
      <c r="C153" s="127"/>
      <c r="D153" s="127"/>
      <c r="E153" s="127"/>
      <c r="F153" s="127"/>
      <c r="G153" s="127"/>
      <c r="H153" s="116"/>
      <c r="I153" s="116"/>
      <c r="J153" s="116"/>
      <c r="K153" s="116"/>
      <c r="L153" s="116"/>
      <c r="M153" s="116"/>
      <c r="N153" s="116"/>
      <c r="O153" s="116"/>
      <c r="P153" s="116"/>
      <c r="Q153" s="116"/>
      <c r="R153" s="116"/>
    </row>
    <row r="154" spans="2:18" x14ac:dyDescent="0.2">
      <c r="B154" s="129" t="s">
        <v>90</v>
      </c>
      <c r="C154" s="128">
        <f>SUM(C150:C152)</f>
        <v>0</v>
      </c>
      <c r="D154" s="127"/>
      <c r="E154" s="127"/>
      <c r="F154" s="127"/>
      <c r="G154" s="127"/>
      <c r="H154" s="116"/>
      <c r="I154" s="116"/>
      <c r="J154" s="116"/>
      <c r="K154" s="116"/>
      <c r="L154" s="116"/>
      <c r="M154" s="116"/>
      <c r="N154" s="116"/>
      <c r="O154" s="116"/>
      <c r="P154" s="116"/>
      <c r="Q154" s="116"/>
      <c r="R154" s="116"/>
    </row>
    <row r="155" spans="2:18" x14ac:dyDescent="0.2">
      <c r="B155" s="127"/>
      <c r="C155" s="127"/>
      <c r="D155" s="127"/>
      <c r="E155" s="127"/>
      <c r="F155" s="127"/>
      <c r="G155" s="127"/>
      <c r="H155" s="116"/>
      <c r="I155" s="116"/>
      <c r="J155" s="116"/>
      <c r="K155" s="116"/>
      <c r="L155" s="116"/>
      <c r="M155" s="116"/>
      <c r="N155" s="116"/>
      <c r="O155" s="116"/>
      <c r="P155" s="116"/>
      <c r="Q155" s="116"/>
      <c r="R155" s="116"/>
    </row>
    <row r="156" spans="2:18" x14ac:dyDescent="0.2">
      <c r="B156" s="132" t="s">
        <v>94</v>
      </c>
      <c r="C156" s="127"/>
      <c r="D156" s="117" t="s">
        <v>92</v>
      </c>
      <c r="E156" s="117"/>
      <c r="F156" s="117"/>
      <c r="G156" s="117"/>
      <c r="H156" s="117"/>
      <c r="I156" s="133"/>
      <c r="J156" s="133"/>
      <c r="K156" s="133"/>
      <c r="L156" s="133"/>
      <c r="M156" s="133"/>
      <c r="N156" s="133"/>
      <c r="O156" s="133"/>
      <c r="P156" s="133"/>
      <c r="Q156" s="133"/>
      <c r="R156" s="133"/>
    </row>
    <row r="157" spans="2:18" x14ac:dyDescent="0.2">
      <c r="B157" s="132"/>
      <c r="C157" s="132" t="s">
        <v>91</v>
      </c>
      <c r="D157" s="132" t="s">
        <v>57</v>
      </c>
      <c r="E157" s="131"/>
      <c r="F157" s="131"/>
      <c r="G157" s="131"/>
      <c r="H157" s="116"/>
      <c r="I157" s="116"/>
      <c r="J157" s="116"/>
      <c r="K157" s="116"/>
      <c r="L157" s="116"/>
      <c r="M157" s="116"/>
      <c r="N157" s="116"/>
      <c r="O157" s="116"/>
      <c r="P157" s="116"/>
      <c r="Q157" s="116"/>
      <c r="R157" s="116"/>
    </row>
    <row r="158" spans="2:18" x14ac:dyDescent="0.2">
      <c r="B158" s="131">
        <v>1</v>
      </c>
      <c r="C158" s="116"/>
      <c r="D158" s="116"/>
      <c r="E158" s="116"/>
      <c r="F158" s="116"/>
      <c r="G158" s="116"/>
      <c r="H158" s="116"/>
      <c r="I158" s="116"/>
      <c r="J158" s="116"/>
      <c r="K158" s="116"/>
      <c r="L158" s="116"/>
      <c r="M158" s="116"/>
      <c r="N158" s="116"/>
      <c r="O158" s="116"/>
      <c r="P158" s="116"/>
      <c r="Q158" s="116"/>
      <c r="R158" s="116"/>
    </row>
    <row r="159" spans="2:18" x14ac:dyDescent="0.2">
      <c r="B159" s="131">
        <v>2</v>
      </c>
      <c r="C159" s="131"/>
      <c r="D159" s="131"/>
      <c r="E159" s="131"/>
      <c r="F159" s="131"/>
      <c r="G159" s="131"/>
      <c r="H159" s="130"/>
      <c r="I159" s="116"/>
      <c r="J159" s="116"/>
      <c r="K159" s="116"/>
      <c r="L159" s="116"/>
      <c r="M159" s="116"/>
      <c r="N159" s="116"/>
      <c r="O159" s="116"/>
      <c r="P159" s="116"/>
      <c r="Q159" s="116"/>
      <c r="R159" s="116"/>
    </row>
    <row r="160" spans="2:18" x14ac:dyDescent="0.2">
      <c r="B160" s="131">
        <v>3</v>
      </c>
      <c r="C160" s="131"/>
      <c r="D160" s="131"/>
      <c r="E160" s="131"/>
      <c r="F160" s="131"/>
      <c r="G160" s="131"/>
      <c r="H160" s="130"/>
      <c r="I160" s="116"/>
      <c r="J160" s="116"/>
      <c r="K160" s="116"/>
      <c r="L160" s="116"/>
      <c r="M160" s="116"/>
      <c r="N160" s="116"/>
      <c r="O160" s="116"/>
      <c r="P160" s="116"/>
      <c r="Q160" s="116"/>
      <c r="R160" s="116"/>
    </row>
    <row r="161" spans="2:18" x14ac:dyDescent="0.2">
      <c r="B161" s="127"/>
      <c r="C161" s="127"/>
      <c r="D161" s="127"/>
      <c r="E161" s="127"/>
      <c r="F161" s="127"/>
      <c r="G161" s="127"/>
      <c r="H161" s="116"/>
      <c r="I161" s="116"/>
      <c r="J161" s="116"/>
      <c r="K161" s="116"/>
      <c r="L161" s="116"/>
      <c r="M161" s="116"/>
      <c r="N161" s="116"/>
      <c r="O161" s="116"/>
      <c r="P161" s="116"/>
      <c r="Q161" s="116"/>
      <c r="R161" s="116"/>
    </row>
    <row r="162" spans="2:18" x14ac:dyDescent="0.2">
      <c r="B162" s="129" t="s">
        <v>90</v>
      </c>
      <c r="C162" s="128">
        <f>SUM(C158:C160)</f>
        <v>0</v>
      </c>
      <c r="D162" s="127"/>
      <c r="E162" s="127"/>
      <c r="F162" s="127"/>
      <c r="G162" s="127"/>
      <c r="H162" s="116"/>
      <c r="I162" s="116"/>
      <c r="J162" s="116"/>
      <c r="K162" s="116"/>
      <c r="L162" s="116"/>
      <c r="M162" s="116"/>
      <c r="N162" s="116"/>
      <c r="O162" s="116"/>
      <c r="P162" s="116"/>
      <c r="Q162" s="116"/>
      <c r="R162" s="116"/>
    </row>
    <row r="163" spans="2:18" x14ac:dyDescent="0.2">
      <c r="B163" s="132"/>
      <c r="C163" s="134"/>
      <c r="D163" s="127"/>
      <c r="E163" s="127"/>
      <c r="F163" s="127"/>
      <c r="G163" s="127"/>
      <c r="H163" s="116"/>
      <c r="I163" s="116"/>
      <c r="J163" s="116"/>
      <c r="K163" s="116"/>
      <c r="L163" s="116"/>
      <c r="M163" s="116"/>
      <c r="N163" s="116"/>
      <c r="O163" s="116"/>
      <c r="P163" s="116"/>
      <c r="Q163" s="116"/>
      <c r="R163" s="116"/>
    </row>
    <row r="164" spans="2:18" x14ac:dyDescent="0.2">
      <c r="B164" s="132" t="s">
        <v>93</v>
      </c>
      <c r="C164" s="127"/>
      <c r="D164" s="117" t="s">
        <v>92</v>
      </c>
      <c r="E164" s="117"/>
      <c r="F164" s="117"/>
      <c r="G164" s="117"/>
      <c r="H164" s="117"/>
      <c r="I164" s="133"/>
      <c r="J164" s="133"/>
      <c r="K164" s="133"/>
      <c r="L164" s="133"/>
      <c r="M164" s="133"/>
      <c r="N164" s="133"/>
      <c r="O164" s="133"/>
      <c r="P164" s="133"/>
      <c r="Q164" s="133"/>
      <c r="R164" s="133"/>
    </row>
    <row r="165" spans="2:18" x14ac:dyDescent="0.2">
      <c r="B165" s="132"/>
      <c r="C165" s="132" t="s">
        <v>91</v>
      </c>
      <c r="D165" s="132" t="s">
        <v>57</v>
      </c>
      <c r="E165" s="131"/>
      <c r="F165" s="131"/>
      <c r="G165" s="131"/>
      <c r="H165" s="116"/>
      <c r="I165" s="116"/>
      <c r="J165" s="116"/>
      <c r="K165" s="116"/>
      <c r="L165" s="116"/>
      <c r="M165" s="116"/>
      <c r="N165" s="116"/>
      <c r="O165" s="116"/>
      <c r="P165" s="116"/>
      <c r="Q165" s="116"/>
      <c r="R165" s="116"/>
    </row>
    <row r="166" spans="2:18" x14ac:dyDescent="0.2">
      <c r="B166" s="131">
        <v>1</v>
      </c>
      <c r="C166" s="116"/>
      <c r="D166" s="116"/>
      <c r="E166" s="116"/>
      <c r="F166" s="116"/>
      <c r="G166" s="116"/>
      <c r="H166" s="116"/>
      <c r="I166" s="116"/>
      <c r="J166" s="116"/>
      <c r="K166" s="116"/>
      <c r="L166" s="116"/>
      <c r="M166" s="116"/>
      <c r="N166" s="116"/>
      <c r="O166" s="116"/>
      <c r="P166" s="116"/>
      <c r="Q166" s="116"/>
      <c r="R166" s="116"/>
    </row>
    <row r="167" spans="2:18" x14ac:dyDescent="0.2">
      <c r="B167" s="131">
        <v>2</v>
      </c>
      <c r="C167" s="131"/>
      <c r="D167" s="131"/>
      <c r="E167" s="131"/>
      <c r="F167" s="131"/>
      <c r="G167" s="131"/>
      <c r="H167" s="130"/>
      <c r="I167" s="116"/>
      <c r="J167" s="116"/>
      <c r="K167" s="116"/>
      <c r="L167" s="116"/>
      <c r="M167" s="116"/>
      <c r="N167" s="116"/>
      <c r="O167" s="116"/>
      <c r="P167" s="116"/>
      <c r="Q167" s="116"/>
      <c r="R167" s="116"/>
    </row>
    <row r="168" spans="2:18" x14ac:dyDescent="0.2">
      <c r="B168" s="131">
        <v>3</v>
      </c>
      <c r="C168" s="131"/>
      <c r="D168" s="131"/>
      <c r="E168" s="131"/>
      <c r="F168" s="131"/>
      <c r="G168" s="131"/>
      <c r="H168" s="130"/>
      <c r="I168" s="116"/>
      <c r="J168" s="116"/>
      <c r="K168" s="116"/>
      <c r="L168" s="116"/>
      <c r="M168" s="116"/>
      <c r="N168" s="116"/>
      <c r="O168" s="116"/>
      <c r="P168" s="116"/>
      <c r="Q168" s="116"/>
      <c r="R168" s="116"/>
    </row>
    <row r="169" spans="2:18" x14ac:dyDescent="0.2">
      <c r="B169" s="127"/>
      <c r="C169" s="127"/>
      <c r="D169" s="127"/>
      <c r="E169" s="127"/>
      <c r="F169" s="127"/>
      <c r="G169" s="127"/>
      <c r="H169" s="116"/>
      <c r="I169" s="116"/>
      <c r="J169" s="116"/>
      <c r="K169" s="116"/>
      <c r="L169" s="116"/>
      <c r="M169" s="116"/>
      <c r="N169" s="116"/>
      <c r="O169" s="116"/>
      <c r="P169" s="116"/>
      <c r="Q169" s="116"/>
      <c r="R169" s="116"/>
    </row>
    <row r="170" spans="2:18" x14ac:dyDescent="0.2">
      <c r="B170" s="129" t="s">
        <v>90</v>
      </c>
      <c r="C170" s="128">
        <f>SUM(C166:C168)</f>
        <v>0</v>
      </c>
      <c r="D170" s="127"/>
      <c r="E170" s="127"/>
      <c r="F170" s="127"/>
      <c r="G170" s="127"/>
      <c r="H170" s="116"/>
      <c r="I170" s="116"/>
      <c r="J170" s="116"/>
      <c r="K170" s="116"/>
      <c r="L170" s="116"/>
      <c r="M170" s="116"/>
      <c r="N170" s="116"/>
      <c r="O170" s="116"/>
      <c r="P170" s="116"/>
      <c r="Q170" s="116"/>
      <c r="R170" s="116"/>
    </row>
    <row r="171" spans="2:18" ht="15.75" thickBot="1" x14ac:dyDescent="0.3">
      <c r="B171" s="127"/>
      <c r="C171" s="127"/>
      <c r="D171" s="127"/>
      <c r="E171" s="127"/>
      <c r="F171" s="127"/>
      <c r="G171" s="127"/>
      <c r="H171" s="120"/>
      <c r="I171" s="120"/>
      <c r="J171" s="116"/>
      <c r="K171" s="116"/>
      <c r="L171" s="116"/>
      <c r="M171" s="116"/>
      <c r="N171" s="116"/>
      <c r="O171" s="116"/>
      <c r="P171" s="116"/>
      <c r="Q171" s="116"/>
      <c r="R171" s="116"/>
    </row>
    <row r="172" spans="2:18" ht="20.25" x14ac:dyDescent="0.25">
      <c r="B172" s="126" t="s">
        <v>89</v>
      </c>
      <c r="C172" s="126"/>
      <c r="D172" s="125"/>
      <c r="E172" s="125"/>
      <c r="F172" s="124"/>
      <c r="G172" s="124"/>
      <c r="H172" s="120"/>
      <c r="I172" s="120"/>
      <c r="J172" s="120"/>
      <c r="K172" s="120"/>
      <c r="L172" s="120"/>
      <c r="M172" s="120"/>
      <c r="N172" s="120"/>
      <c r="O172" s="120"/>
      <c r="P172" s="120"/>
      <c r="Q172" s="120"/>
      <c r="R172" s="120"/>
    </row>
    <row r="173" spans="2:18" ht="15" x14ac:dyDescent="0.25">
      <c r="B173" s="123"/>
      <c r="C173" s="123"/>
      <c r="D173" s="120"/>
      <c r="E173" s="120"/>
      <c r="F173" s="122"/>
      <c r="G173" s="122"/>
      <c r="H173" s="120"/>
      <c r="I173" s="120"/>
      <c r="J173" s="120"/>
      <c r="K173" s="120"/>
      <c r="L173" s="120"/>
      <c r="M173" s="120"/>
      <c r="N173" s="120"/>
      <c r="O173" s="120"/>
      <c r="P173" s="120"/>
      <c r="Q173" s="120"/>
      <c r="R173" s="120"/>
    </row>
    <row r="174" spans="2:18" ht="15" x14ac:dyDescent="0.25">
      <c r="B174" s="121" t="s">
        <v>88</v>
      </c>
      <c r="C174" s="121" t="s">
        <v>87</v>
      </c>
      <c r="D174" s="120"/>
      <c r="E174" s="120"/>
      <c r="F174" s="120"/>
      <c r="G174" s="120"/>
      <c r="H174" s="116"/>
      <c r="I174" s="116"/>
      <c r="J174" s="116"/>
      <c r="K174" s="116"/>
      <c r="L174" s="120"/>
      <c r="M174" s="120"/>
      <c r="N174" s="120"/>
      <c r="O174" s="120"/>
      <c r="P174" s="120"/>
      <c r="Q174" s="120"/>
      <c r="R174" s="120"/>
    </row>
    <row r="175" spans="2:18" x14ac:dyDescent="0.2">
      <c r="B175" s="119"/>
      <c r="C175" s="118" t="s">
        <v>86</v>
      </c>
      <c r="D175" s="117"/>
      <c r="E175" s="117"/>
      <c r="F175" s="117"/>
      <c r="G175" s="117"/>
      <c r="H175" s="117"/>
      <c r="I175" s="116"/>
      <c r="J175" s="116"/>
      <c r="K175" s="116"/>
      <c r="L175" s="116"/>
      <c r="M175" s="116"/>
      <c r="N175" s="116"/>
      <c r="O175" s="116"/>
      <c r="P175" s="116"/>
      <c r="Q175" s="116"/>
      <c r="R175" s="116"/>
    </row>
    <row r="176" spans="2:18" x14ac:dyDescent="0.2">
      <c r="B176" s="116"/>
      <c r="C176" s="116"/>
      <c r="D176" s="116"/>
      <c r="E176" s="116"/>
      <c r="F176" s="116"/>
      <c r="G176" s="116"/>
      <c r="H176" s="116"/>
      <c r="I176" s="116"/>
      <c r="J176" s="116"/>
      <c r="K176" s="116"/>
      <c r="L176" s="116"/>
      <c r="M176" s="116"/>
      <c r="N176" s="116"/>
      <c r="O176" s="116"/>
      <c r="P176" s="116"/>
      <c r="Q176" s="116"/>
      <c r="R176" s="116"/>
    </row>
  </sheetData>
  <mergeCells count="28">
    <mergeCell ref="H11:I11"/>
    <mergeCell ref="D12:E12"/>
    <mergeCell ref="B13:M13"/>
    <mergeCell ref="B23:M23"/>
    <mergeCell ref="H7:I7"/>
    <mergeCell ref="L7:M7"/>
    <mergeCell ref="H8:I8"/>
    <mergeCell ref="H9:I9"/>
    <mergeCell ref="H10:I10"/>
    <mergeCell ref="D5:E5"/>
    <mergeCell ref="H5:I5"/>
    <mergeCell ref="L5:M5"/>
    <mergeCell ref="H6:I6"/>
    <mergeCell ref="J6:K6"/>
    <mergeCell ref="L6:M6"/>
    <mergeCell ref="C46:E46"/>
    <mergeCell ref="C24:E24"/>
    <mergeCell ref="I24:M24"/>
    <mergeCell ref="I46:M46"/>
    <mergeCell ref="D137:G137"/>
    <mergeCell ref="D80:G80"/>
    <mergeCell ref="D83:G83"/>
    <mergeCell ref="D134:G134"/>
    <mergeCell ref="D135:G135"/>
    <mergeCell ref="D136:G136"/>
    <mergeCell ref="D81:G81"/>
    <mergeCell ref="D82:G82"/>
    <mergeCell ref="B45:M45"/>
  </mergeCells>
  <pageMargins left="0.2" right="0.2" top="0.33" bottom="0.32" header="0.2" footer="0.19"/>
  <pageSetup scale="50" orientation="landscape" r:id="rId1"/>
  <rowBreaks count="2" manualBreakCount="2">
    <brk id="67" max="16383" man="1"/>
    <brk id="1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3:P31"/>
  <sheetViews>
    <sheetView view="pageBreakPreview" zoomScaleNormal="90" zoomScaleSheetLayoutView="100" workbookViewId="0">
      <selection activeCell="C21" sqref="C21"/>
    </sheetView>
  </sheetViews>
  <sheetFormatPr defaultColWidth="9.140625" defaultRowHeight="12.75" x14ac:dyDescent="0.2"/>
  <cols>
    <col min="1" max="1" width="7.140625" style="44" customWidth="1"/>
    <col min="2" max="2" width="71.85546875" style="44" customWidth="1"/>
    <col min="3" max="3" width="12.85546875" style="44" customWidth="1"/>
    <col min="4" max="4" width="34.28515625" style="44" customWidth="1"/>
    <col min="5" max="5" width="35.28515625" style="44" customWidth="1"/>
    <col min="6" max="6" width="18.140625" style="44" customWidth="1"/>
    <col min="7" max="7" width="28.7109375" style="44" customWidth="1"/>
    <col min="8" max="16384" width="9.140625" style="44"/>
  </cols>
  <sheetData>
    <row r="3" spans="2:7" ht="22.5" customHeight="1" x14ac:dyDescent="0.25">
      <c r="B3" s="412" t="s">
        <v>474</v>
      </c>
      <c r="C3" s="412"/>
      <c r="D3" s="411"/>
      <c r="E3" s="411"/>
      <c r="F3" s="411"/>
    </row>
    <row r="4" spans="2:7" ht="23.25" customHeight="1" x14ac:dyDescent="0.25">
      <c r="B4" s="410" t="s">
        <v>209</v>
      </c>
      <c r="C4" s="410"/>
    </row>
    <row r="5" spans="2:7" ht="23.25" customHeight="1" thickBot="1" x14ac:dyDescent="0.25">
      <c r="B5" s="10"/>
      <c r="C5" s="10"/>
    </row>
    <row r="6" spans="2:7" ht="23.25" customHeight="1" thickBot="1" x14ac:dyDescent="0.25">
      <c r="B6" s="401" t="s">
        <v>298</v>
      </c>
      <c r="C6" s="401"/>
      <c r="D6" s="399" t="s">
        <v>297</v>
      </c>
    </row>
    <row r="7" spans="2:7" s="10" customFormat="1" ht="36" customHeight="1" x14ac:dyDescent="0.2">
      <c r="B7" s="409" t="s">
        <v>296</v>
      </c>
      <c r="C7" s="409"/>
      <c r="D7" s="393"/>
    </row>
    <row r="8" spans="2:7" s="10" customFormat="1" ht="22.5" customHeight="1" x14ac:dyDescent="0.2">
      <c r="B8" s="408"/>
      <c r="C8" s="408"/>
      <c r="D8" s="408"/>
    </row>
    <row r="9" spans="2:7" s="10" customFormat="1" ht="22.5" customHeight="1" thickBot="1" x14ac:dyDescent="0.25">
      <c r="B9" s="407" t="s">
        <v>278</v>
      </c>
      <c r="C9" s="407"/>
      <c r="D9" s="405"/>
      <c r="E9" s="405"/>
      <c r="F9" s="406"/>
      <c r="G9" s="405"/>
    </row>
    <row r="10" spans="2:7" s="395" customFormat="1" ht="66" customHeight="1" thickBot="1" x14ac:dyDescent="0.3">
      <c r="B10" s="401" t="s">
        <v>295</v>
      </c>
      <c r="C10" s="400" t="s">
        <v>294</v>
      </c>
      <c r="D10" s="399" t="s">
        <v>293</v>
      </c>
      <c r="E10" s="398" t="s">
        <v>292</v>
      </c>
      <c r="F10" s="397" t="s">
        <v>291</v>
      </c>
      <c r="G10" s="396" t="s">
        <v>290</v>
      </c>
    </row>
    <row r="11" spans="2:7" s="3" customFormat="1" ht="32.1" customHeight="1" x14ac:dyDescent="0.2">
      <c r="B11" s="394"/>
      <c r="C11" s="394"/>
      <c r="D11" s="393"/>
      <c r="E11" s="392"/>
      <c r="F11" s="392"/>
      <c r="G11" s="391"/>
    </row>
    <row r="12" spans="2:7" s="3" customFormat="1" ht="32.1" customHeight="1" x14ac:dyDescent="0.2">
      <c r="B12" s="390"/>
      <c r="C12" s="390"/>
      <c r="D12" s="23"/>
      <c r="E12" s="84"/>
      <c r="F12" s="84"/>
      <c r="G12" s="22"/>
    </row>
    <row r="13" spans="2:7" s="3" customFormat="1" ht="32.1" customHeight="1" x14ac:dyDescent="0.2">
      <c r="B13" s="390"/>
      <c r="C13" s="390"/>
      <c r="D13" s="23"/>
      <c r="E13" s="84"/>
      <c r="F13" s="84"/>
      <c r="G13" s="22"/>
    </row>
    <row r="14" spans="2:7" s="3" customFormat="1" ht="32.1" customHeight="1" x14ac:dyDescent="0.2">
      <c r="B14" s="390"/>
      <c r="C14" s="390"/>
      <c r="D14" s="23"/>
      <c r="E14" s="84"/>
      <c r="F14" s="84"/>
      <c r="G14" s="22"/>
    </row>
    <row r="15" spans="2:7" s="3" customFormat="1" ht="32.1" customHeight="1" thickBot="1" x14ac:dyDescent="0.25">
      <c r="B15" s="389"/>
      <c r="C15" s="389"/>
      <c r="D15" s="28"/>
      <c r="E15" s="388"/>
      <c r="F15" s="388"/>
      <c r="G15" s="27"/>
    </row>
    <row r="16" spans="2:7" s="74" customFormat="1" ht="32.1" customHeight="1" thickBot="1" x14ac:dyDescent="0.3">
      <c r="B16" s="387" t="s">
        <v>272</v>
      </c>
      <c r="C16" s="387"/>
      <c r="D16" s="386">
        <f>SUM(D11:D15)</f>
        <v>0</v>
      </c>
      <c r="E16" s="385">
        <f>SUM(E11:E15)</f>
        <v>0</v>
      </c>
      <c r="F16" s="385"/>
      <c r="G16" s="384"/>
    </row>
    <row r="17" spans="2:16" s="74" customFormat="1" ht="38.25" customHeight="1" x14ac:dyDescent="0.25">
      <c r="B17" s="387"/>
      <c r="C17" s="387"/>
      <c r="D17" s="404"/>
      <c r="E17" s="404"/>
      <c r="F17" s="404"/>
      <c r="G17" s="403"/>
    </row>
    <row r="18" spans="2:16" s="402" customFormat="1" ht="22.5" customHeight="1" thickBot="1" x14ac:dyDescent="0.3">
      <c r="B18" s="402" t="s">
        <v>277</v>
      </c>
    </row>
    <row r="19" spans="2:16" s="395" customFormat="1" ht="66" customHeight="1" thickBot="1" x14ac:dyDescent="0.3">
      <c r="B19" s="401" t="s">
        <v>295</v>
      </c>
      <c r="C19" s="400" t="s">
        <v>294</v>
      </c>
      <c r="D19" s="399" t="s">
        <v>573</v>
      </c>
      <c r="E19" s="398" t="s">
        <v>574</v>
      </c>
      <c r="F19" s="397" t="s">
        <v>291</v>
      </c>
      <c r="G19" s="396" t="s">
        <v>290</v>
      </c>
    </row>
    <row r="20" spans="2:16" s="3" customFormat="1" ht="32.1" customHeight="1" x14ac:dyDescent="0.2">
      <c r="B20" s="394"/>
      <c r="C20" s="394"/>
      <c r="D20" s="393"/>
      <c r="E20" s="392"/>
      <c r="F20" s="392"/>
      <c r="G20" s="391"/>
    </row>
    <row r="21" spans="2:16" s="3" customFormat="1" ht="32.1" customHeight="1" x14ac:dyDescent="0.2">
      <c r="B21" s="390"/>
      <c r="C21" s="390"/>
      <c r="D21" s="23"/>
      <c r="E21" s="84"/>
      <c r="F21" s="84"/>
      <c r="G21" s="22"/>
    </row>
    <row r="22" spans="2:16" s="3" customFormat="1" ht="32.1" customHeight="1" x14ac:dyDescent="0.2">
      <c r="B22" s="390"/>
      <c r="C22" s="390"/>
      <c r="D22" s="23"/>
      <c r="E22" s="84"/>
      <c r="F22" s="84"/>
      <c r="G22" s="22"/>
    </row>
    <row r="23" spans="2:16" s="3" customFormat="1" ht="32.1" customHeight="1" x14ac:dyDescent="0.2">
      <c r="B23" s="390"/>
      <c r="C23" s="390"/>
      <c r="D23" s="23"/>
      <c r="E23" s="84"/>
      <c r="F23" s="84"/>
      <c r="G23" s="22"/>
    </row>
    <row r="24" spans="2:16" s="3" customFormat="1" ht="32.1" customHeight="1" thickBot="1" x14ac:dyDescent="0.25">
      <c r="B24" s="389"/>
      <c r="C24" s="389"/>
      <c r="D24" s="28"/>
      <c r="E24" s="388"/>
      <c r="F24" s="388"/>
      <c r="G24" s="27"/>
    </row>
    <row r="25" spans="2:16" s="74" customFormat="1" ht="32.1" customHeight="1" thickBot="1" x14ac:dyDescent="0.3">
      <c r="B25" s="387" t="s">
        <v>272</v>
      </c>
      <c r="C25" s="387"/>
      <c r="D25" s="386">
        <f>SUM(D20:D24)</f>
        <v>0</v>
      </c>
      <c r="E25" s="385">
        <f>SUM(E20:E24)</f>
        <v>0</v>
      </c>
      <c r="F25" s="385"/>
      <c r="G25" s="384"/>
    </row>
    <row r="26" spans="2:16" s="3" customFormat="1" ht="14.25" x14ac:dyDescent="0.2"/>
    <row r="27" spans="2:16" s="3" customFormat="1" ht="14.25" x14ac:dyDescent="0.2">
      <c r="B27" s="961" t="s">
        <v>289</v>
      </c>
      <c r="C27" s="961"/>
      <c r="D27" s="961"/>
      <c r="E27" s="961"/>
      <c r="F27" s="961"/>
      <c r="G27" s="961"/>
      <c r="H27" s="961"/>
      <c r="I27" s="961"/>
      <c r="J27" s="961"/>
      <c r="K27" s="961"/>
      <c r="L27" s="961"/>
      <c r="M27" s="961"/>
      <c r="N27" s="961"/>
      <c r="O27" s="961"/>
      <c r="P27" s="961"/>
    </row>
    <row r="28" spans="2:16" s="3" customFormat="1" ht="14.25" x14ac:dyDescent="0.2">
      <c r="B28" s="3" t="s">
        <v>288</v>
      </c>
    </row>
    <row r="29" spans="2:16" s="3" customFormat="1" ht="14.25" x14ac:dyDescent="0.2"/>
    <row r="30" spans="2:16" s="3" customFormat="1" ht="14.25" x14ac:dyDescent="0.2"/>
    <row r="31" spans="2:16" ht="14.25" x14ac:dyDescent="0.2">
      <c r="B31" s="3"/>
      <c r="C31" s="3"/>
      <c r="D31" s="3"/>
      <c r="E31" s="3"/>
      <c r="F31" s="3"/>
      <c r="G31" s="3"/>
      <c r="H31" s="3"/>
      <c r="I31" s="3"/>
      <c r="J31" s="3"/>
      <c r="K31" s="3"/>
      <c r="L31" s="3"/>
      <c r="M31" s="3"/>
      <c r="N31" s="3"/>
      <c r="O31" s="3"/>
      <c r="P31" s="3"/>
    </row>
  </sheetData>
  <mergeCells count="1">
    <mergeCell ref="B27:P27"/>
  </mergeCells>
  <printOptions horizontalCentered="1"/>
  <pageMargins left="0.19" right="0.24" top="0.55000000000000004" bottom="0.56000000000000005" header="0.35" footer="0.2"/>
  <pageSetup scale="5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B1:U66"/>
  <sheetViews>
    <sheetView tabSelected="1" view="pageBreakPreview" topLeftCell="D11" zoomScale="90" zoomScaleNormal="100" zoomScaleSheetLayoutView="90" workbookViewId="0">
      <selection activeCell="L28" sqref="L28"/>
    </sheetView>
  </sheetViews>
  <sheetFormatPr defaultColWidth="9.140625" defaultRowHeight="14.25" x14ac:dyDescent="0.2"/>
  <cols>
    <col min="1" max="1" width="5" style="36" customWidth="1"/>
    <col min="2" max="2" width="6" style="36" customWidth="1"/>
    <col min="3" max="3" width="9.7109375" style="36" bestFit="1" customWidth="1"/>
    <col min="4" max="4" width="10.42578125" style="281" bestFit="1" customWidth="1"/>
    <col min="5" max="5" width="15.140625" style="281" bestFit="1" customWidth="1"/>
    <col min="6" max="6" width="6.28515625" style="281" bestFit="1" customWidth="1"/>
    <col min="7" max="7" width="10.7109375" style="36" customWidth="1"/>
    <col min="8" max="8" width="52.5703125" style="36" bestFit="1" customWidth="1"/>
    <col min="9" max="9" width="12.85546875" style="36" customWidth="1"/>
    <col min="10" max="10" width="14.140625" style="36" customWidth="1"/>
    <col min="11" max="11" width="15.7109375" style="36" customWidth="1"/>
    <col min="12" max="12" width="14.5703125" style="36" customWidth="1"/>
    <col min="13" max="13" width="15.7109375" style="36" bestFit="1" customWidth="1"/>
    <col min="14" max="14" width="16" style="36" customWidth="1"/>
    <col min="15" max="15" width="14.85546875" style="36" customWidth="1"/>
    <col min="16" max="16" width="102" style="36" customWidth="1"/>
    <col min="17" max="17" width="3.42578125" style="36" customWidth="1"/>
    <col min="18" max="16384" width="9.140625" style="36"/>
  </cols>
  <sheetData>
    <row r="1" spans="2:16" ht="21" customHeight="1" x14ac:dyDescent="0.2"/>
    <row r="2" spans="2:16" ht="18" x14ac:dyDescent="0.25">
      <c r="B2" s="301" t="s">
        <v>210</v>
      </c>
      <c r="C2" s="300"/>
    </row>
    <row r="3" spans="2:16" ht="18" x14ac:dyDescent="0.25">
      <c r="B3" s="299" t="s">
        <v>209</v>
      </c>
    </row>
    <row r="5" spans="2:16" x14ac:dyDescent="0.2">
      <c r="B5" s="36" t="s">
        <v>208</v>
      </c>
    </row>
    <row r="6" spans="2:16" ht="15" x14ac:dyDescent="0.25">
      <c r="B6" s="298" t="s">
        <v>207</v>
      </c>
      <c r="F6" s="36"/>
    </row>
    <row r="7" spans="2:16" x14ac:dyDescent="0.2">
      <c r="B7" s="284" t="s">
        <v>32</v>
      </c>
      <c r="F7" s="36"/>
    </row>
    <row r="8" spans="2:16" x14ac:dyDescent="0.2">
      <c r="B8" s="284" t="s">
        <v>31</v>
      </c>
      <c r="C8" s="283"/>
      <c r="D8" s="283"/>
      <c r="E8" s="36"/>
      <c r="F8" s="36"/>
      <c r="J8" s="283"/>
    </row>
    <row r="9" spans="2:16" ht="15" thickBot="1" x14ac:dyDescent="0.25">
      <c r="B9" s="284"/>
      <c r="C9" s="283"/>
      <c r="D9" s="283"/>
      <c r="E9" s="36"/>
      <c r="F9" s="36"/>
      <c r="J9" s="283"/>
    </row>
    <row r="10" spans="2:16" ht="15" x14ac:dyDescent="0.25">
      <c r="B10" s="297" t="s">
        <v>206</v>
      </c>
      <c r="C10" s="295"/>
      <c r="D10" s="295"/>
      <c r="E10" s="295"/>
      <c r="F10" s="295"/>
      <c r="G10" s="295"/>
      <c r="H10" s="295"/>
      <c r="I10" s="295"/>
      <c r="J10" s="295"/>
      <c r="K10" s="296" t="s">
        <v>28</v>
      </c>
      <c r="L10" s="295"/>
      <c r="M10" s="295"/>
      <c r="N10" s="296" t="s">
        <v>28</v>
      </c>
      <c r="O10" s="295"/>
      <c r="P10" s="294" t="s">
        <v>28</v>
      </c>
    </row>
    <row r="11" spans="2:16" s="289" customFormat="1" ht="51" customHeight="1" thickBot="1" x14ac:dyDescent="0.25">
      <c r="B11" s="293" t="s">
        <v>27</v>
      </c>
      <c r="C11" s="291" t="s">
        <v>26</v>
      </c>
      <c r="D11" s="291" t="s">
        <v>25</v>
      </c>
      <c r="E11" s="292" t="s">
        <v>5</v>
      </c>
      <c r="F11" s="292" t="s">
        <v>24</v>
      </c>
      <c r="G11" s="292" t="s">
        <v>205</v>
      </c>
      <c r="H11" s="291" t="s">
        <v>204</v>
      </c>
      <c r="I11" s="291" t="s">
        <v>201</v>
      </c>
      <c r="J11" s="291" t="s">
        <v>200</v>
      </c>
      <c r="K11" s="291" t="s">
        <v>199</v>
      </c>
      <c r="L11" s="291" t="s">
        <v>198</v>
      </c>
      <c r="M11" s="291" t="s">
        <v>197</v>
      </c>
      <c r="N11" s="291" t="s">
        <v>196</v>
      </c>
      <c r="O11" s="291" t="s">
        <v>195</v>
      </c>
      <c r="P11" s="290" t="s">
        <v>194</v>
      </c>
    </row>
    <row r="12" spans="2:16" x14ac:dyDescent="0.2">
      <c r="B12" s="288" t="s">
        <v>27</v>
      </c>
      <c r="C12" s="287" t="s">
        <v>594</v>
      </c>
      <c r="D12" s="287" t="s">
        <v>595</v>
      </c>
      <c r="E12" s="287" t="s">
        <v>596</v>
      </c>
      <c r="F12" s="287" t="s">
        <v>597</v>
      </c>
      <c r="G12" s="287" t="s">
        <v>597</v>
      </c>
      <c r="H12" s="287" t="s">
        <v>598</v>
      </c>
      <c r="I12" s="889">
        <v>2994742</v>
      </c>
      <c r="J12" s="889">
        <v>3160448</v>
      </c>
      <c r="K12" s="889">
        <v>3189930</v>
      </c>
      <c r="L12" s="889">
        <f>K12-J12</f>
        <v>29482</v>
      </c>
      <c r="M12" s="889">
        <v>3228308</v>
      </c>
      <c r="N12" s="889">
        <v>3258420</v>
      </c>
      <c r="O12" s="889">
        <f>N12-M12</f>
        <v>30112</v>
      </c>
      <c r="P12" s="286" t="s">
        <v>807</v>
      </c>
    </row>
    <row r="13" spans="2:16" x14ac:dyDescent="0.2">
      <c r="B13" s="288" t="s">
        <v>27</v>
      </c>
      <c r="C13" s="287" t="s">
        <v>594</v>
      </c>
      <c r="D13" s="287" t="s">
        <v>595</v>
      </c>
      <c r="E13" s="287" t="s">
        <v>596</v>
      </c>
      <c r="F13" s="287" t="s">
        <v>597</v>
      </c>
      <c r="G13" s="287" t="s">
        <v>599</v>
      </c>
      <c r="H13" s="287" t="s">
        <v>600</v>
      </c>
      <c r="I13" s="889">
        <v>1866181</v>
      </c>
      <c r="J13" s="889">
        <v>1166605</v>
      </c>
      <c r="K13" s="889">
        <v>1166605</v>
      </c>
      <c r="L13" s="889">
        <f t="shared" ref="L13:L22" si="0">K13-J13</f>
        <v>0</v>
      </c>
      <c r="M13" s="889">
        <v>1166605</v>
      </c>
      <c r="N13" s="889">
        <v>1166605</v>
      </c>
      <c r="O13" s="889">
        <f t="shared" ref="O13:O22" si="1">N13-M13</f>
        <v>0</v>
      </c>
      <c r="P13" s="855"/>
    </row>
    <row r="14" spans="2:16" x14ac:dyDescent="0.2">
      <c r="B14" s="288" t="s">
        <v>27</v>
      </c>
      <c r="C14" s="287" t="s">
        <v>594</v>
      </c>
      <c r="D14" s="287" t="s">
        <v>595</v>
      </c>
      <c r="E14" s="287" t="s">
        <v>596</v>
      </c>
      <c r="F14" s="287" t="s">
        <v>597</v>
      </c>
      <c r="G14" s="287" t="s">
        <v>601</v>
      </c>
      <c r="H14" s="287" t="s">
        <v>602</v>
      </c>
      <c r="I14" s="889">
        <v>32300</v>
      </c>
      <c r="J14" s="889">
        <v>22221</v>
      </c>
      <c r="K14" s="889">
        <v>22221</v>
      </c>
      <c r="L14" s="889">
        <f t="shared" si="0"/>
        <v>0</v>
      </c>
      <c r="M14" s="889">
        <v>22221</v>
      </c>
      <c r="N14" s="889">
        <v>22221</v>
      </c>
      <c r="O14" s="889">
        <f t="shared" si="1"/>
        <v>0</v>
      </c>
      <c r="P14" s="286"/>
    </row>
    <row r="15" spans="2:16" ht="28.5" x14ac:dyDescent="0.2">
      <c r="B15" s="288" t="s">
        <v>27</v>
      </c>
      <c r="C15" s="287" t="s">
        <v>594</v>
      </c>
      <c r="D15" s="287" t="s">
        <v>595</v>
      </c>
      <c r="E15" s="287" t="s">
        <v>596</v>
      </c>
      <c r="F15" s="287" t="s">
        <v>597</v>
      </c>
      <c r="G15" s="287" t="s">
        <v>603</v>
      </c>
      <c r="H15" s="287" t="s">
        <v>604</v>
      </c>
      <c r="I15" s="889">
        <v>591264</v>
      </c>
      <c r="J15" s="889">
        <v>445862</v>
      </c>
      <c r="K15" s="889">
        <v>400000</v>
      </c>
      <c r="L15" s="889">
        <f t="shared" si="0"/>
        <v>-45862</v>
      </c>
      <c r="M15" s="889">
        <v>445862</v>
      </c>
      <c r="N15" s="889">
        <v>400000</v>
      </c>
      <c r="O15" s="889">
        <f t="shared" si="1"/>
        <v>-45862</v>
      </c>
      <c r="P15" s="855" t="s">
        <v>818</v>
      </c>
    </row>
    <row r="16" spans="2:16" x14ac:dyDescent="0.2">
      <c r="B16" s="288" t="s">
        <v>27</v>
      </c>
      <c r="C16" s="287" t="s">
        <v>594</v>
      </c>
      <c r="D16" s="287" t="s">
        <v>595</v>
      </c>
      <c r="E16" s="287" t="s">
        <v>596</v>
      </c>
      <c r="F16" s="287" t="s">
        <v>597</v>
      </c>
      <c r="G16" s="287" t="s">
        <v>605</v>
      </c>
      <c r="H16" s="287" t="s">
        <v>606</v>
      </c>
      <c r="I16" s="889">
        <v>30758</v>
      </c>
      <c r="J16" s="889">
        <v>22000</v>
      </c>
      <c r="K16" s="889">
        <v>22000</v>
      </c>
      <c r="L16" s="889">
        <f t="shared" si="0"/>
        <v>0</v>
      </c>
      <c r="M16" s="889">
        <v>22000</v>
      </c>
      <c r="N16" s="889">
        <v>22000</v>
      </c>
      <c r="O16" s="889">
        <f t="shared" si="1"/>
        <v>0</v>
      </c>
      <c r="P16" s="286"/>
    </row>
    <row r="17" spans="2:16" x14ac:dyDescent="0.2">
      <c r="B17" s="288" t="s">
        <v>27</v>
      </c>
      <c r="C17" s="287" t="s">
        <v>594</v>
      </c>
      <c r="D17" s="287" t="s">
        <v>595</v>
      </c>
      <c r="E17" s="287" t="s">
        <v>596</v>
      </c>
      <c r="F17" s="287" t="s">
        <v>607</v>
      </c>
      <c r="G17" s="287" t="s">
        <v>607</v>
      </c>
      <c r="H17" s="287" t="s">
        <v>608</v>
      </c>
      <c r="I17" s="889">
        <v>554715</v>
      </c>
      <c r="J17" s="889">
        <v>597595</v>
      </c>
      <c r="K17" s="889">
        <v>603197</v>
      </c>
      <c r="L17" s="889">
        <f t="shared" si="0"/>
        <v>5602</v>
      </c>
      <c r="M17" s="889">
        <v>647808</v>
      </c>
      <c r="N17" s="889">
        <v>653880</v>
      </c>
      <c r="O17" s="889">
        <f t="shared" si="1"/>
        <v>6072</v>
      </c>
      <c r="P17" s="286"/>
    </row>
    <row r="18" spans="2:16" x14ac:dyDescent="0.2">
      <c r="B18" s="288" t="s">
        <v>27</v>
      </c>
      <c r="C18" s="287" t="s">
        <v>594</v>
      </c>
      <c r="D18" s="287" t="s">
        <v>595</v>
      </c>
      <c r="E18" s="287" t="s">
        <v>596</v>
      </c>
      <c r="F18" s="287" t="s">
        <v>607</v>
      </c>
      <c r="G18" s="287" t="s">
        <v>609</v>
      </c>
      <c r="H18" s="287" t="s">
        <v>610</v>
      </c>
      <c r="I18" s="889">
        <v>416596</v>
      </c>
      <c r="J18" s="889">
        <v>362130</v>
      </c>
      <c r="K18" s="889">
        <v>364385</v>
      </c>
      <c r="L18" s="889">
        <f t="shared" si="0"/>
        <v>2255</v>
      </c>
      <c r="M18" s="889">
        <v>366741</v>
      </c>
      <c r="N18" s="889">
        <v>369045</v>
      </c>
      <c r="O18" s="889">
        <f t="shared" si="1"/>
        <v>2304</v>
      </c>
      <c r="P18" s="286"/>
    </row>
    <row r="19" spans="2:16" x14ac:dyDescent="0.2">
      <c r="B19" s="288" t="s">
        <v>27</v>
      </c>
      <c r="C19" s="287" t="s">
        <v>594</v>
      </c>
      <c r="D19" s="287" t="s">
        <v>595</v>
      </c>
      <c r="E19" s="287" t="s">
        <v>596</v>
      </c>
      <c r="F19" s="287" t="s">
        <v>607</v>
      </c>
      <c r="G19" s="287" t="s">
        <v>611</v>
      </c>
      <c r="H19" s="287" t="s">
        <v>612</v>
      </c>
      <c r="I19" s="889">
        <v>452213</v>
      </c>
      <c r="J19" s="889">
        <v>501898</v>
      </c>
      <c r="K19" s="889">
        <v>501687</v>
      </c>
      <c r="L19" s="889">
        <f t="shared" si="0"/>
        <v>-211</v>
      </c>
      <c r="M19" s="889">
        <v>540233</v>
      </c>
      <c r="N19" s="889">
        <v>540012</v>
      </c>
      <c r="O19" s="889">
        <f t="shared" si="1"/>
        <v>-221</v>
      </c>
      <c r="P19" s="286"/>
    </row>
    <row r="20" spans="2:16" x14ac:dyDescent="0.2">
      <c r="B20" s="288" t="s">
        <v>27</v>
      </c>
      <c r="C20" s="287" t="s">
        <v>594</v>
      </c>
      <c r="D20" s="287" t="s">
        <v>595</v>
      </c>
      <c r="E20" s="287" t="s">
        <v>596</v>
      </c>
      <c r="F20" s="287" t="s">
        <v>607</v>
      </c>
      <c r="G20" s="287" t="s">
        <v>613</v>
      </c>
      <c r="H20" s="287" t="s">
        <v>614</v>
      </c>
      <c r="I20" s="889">
        <v>48807</v>
      </c>
      <c r="J20" s="889">
        <v>52136</v>
      </c>
      <c r="K20" s="889">
        <v>52069</v>
      </c>
      <c r="L20" s="889">
        <f t="shared" si="0"/>
        <v>-67</v>
      </c>
      <c r="M20" s="889">
        <v>54743</v>
      </c>
      <c r="N20" s="889">
        <v>54673</v>
      </c>
      <c r="O20" s="889">
        <f t="shared" si="1"/>
        <v>-70</v>
      </c>
      <c r="P20" s="286"/>
    </row>
    <row r="21" spans="2:16" x14ac:dyDescent="0.2">
      <c r="B21" s="288" t="s">
        <v>27</v>
      </c>
      <c r="C21" s="287" t="s">
        <v>594</v>
      </c>
      <c r="D21" s="287" t="s">
        <v>595</v>
      </c>
      <c r="E21" s="287" t="s">
        <v>596</v>
      </c>
      <c r="F21" s="287" t="s">
        <v>607</v>
      </c>
      <c r="G21" s="287" t="s">
        <v>615</v>
      </c>
      <c r="H21" s="287" t="s">
        <v>616</v>
      </c>
      <c r="I21" s="889">
        <v>14889</v>
      </c>
      <c r="J21" s="889">
        <v>13005</v>
      </c>
      <c r="K21" s="889">
        <v>13085</v>
      </c>
      <c r="L21" s="889">
        <f t="shared" si="0"/>
        <v>80</v>
      </c>
      <c r="M21" s="889">
        <v>13188</v>
      </c>
      <c r="N21" s="889">
        <v>13270</v>
      </c>
      <c r="O21" s="889">
        <f t="shared" si="1"/>
        <v>82</v>
      </c>
      <c r="P21" s="286"/>
    </row>
    <row r="22" spans="2:16" ht="28.5" x14ac:dyDescent="0.2">
      <c r="B22" s="288" t="s">
        <v>27</v>
      </c>
      <c r="C22" s="287" t="s">
        <v>594</v>
      </c>
      <c r="D22" s="287" t="s">
        <v>595</v>
      </c>
      <c r="E22" s="287" t="s">
        <v>596</v>
      </c>
      <c r="F22" s="287" t="s">
        <v>607</v>
      </c>
      <c r="G22" s="287" t="s">
        <v>617</v>
      </c>
      <c r="H22" s="287" t="s">
        <v>618</v>
      </c>
      <c r="I22" s="889">
        <v>112536</v>
      </c>
      <c r="J22" s="889">
        <v>-96051</v>
      </c>
      <c r="K22" s="889">
        <v>0</v>
      </c>
      <c r="L22" s="889">
        <f t="shared" si="0"/>
        <v>96051</v>
      </c>
      <c r="M22" s="889">
        <v>-95152</v>
      </c>
      <c r="N22" s="889">
        <v>0</v>
      </c>
      <c r="O22" s="889">
        <f t="shared" si="1"/>
        <v>95152</v>
      </c>
      <c r="P22" s="855" t="s">
        <v>808</v>
      </c>
    </row>
    <row r="23" spans="2:16" x14ac:dyDescent="0.2">
      <c r="B23" s="288" t="s">
        <v>27</v>
      </c>
      <c r="C23" s="287" t="s">
        <v>594</v>
      </c>
      <c r="D23" s="287" t="s">
        <v>595</v>
      </c>
      <c r="E23" s="287" t="s">
        <v>596</v>
      </c>
      <c r="F23" s="287" t="s">
        <v>619</v>
      </c>
      <c r="G23" s="287" t="s">
        <v>619</v>
      </c>
      <c r="H23" s="287" t="s">
        <v>620</v>
      </c>
      <c r="I23" s="889">
        <v>6758</v>
      </c>
      <c r="J23" s="889">
        <v>8500</v>
      </c>
      <c r="K23" s="889">
        <v>8500</v>
      </c>
      <c r="L23" s="890">
        <f t="shared" ref="L23:L41" si="2">K23-J23</f>
        <v>0</v>
      </c>
      <c r="M23" s="891">
        <v>8500</v>
      </c>
      <c r="N23" s="891">
        <v>8500</v>
      </c>
      <c r="O23" s="892">
        <f t="shared" ref="O23:O41" si="3">N23-M23</f>
        <v>0</v>
      </c>
      <c r="P23" s="286"/>
    </row>
    <row r="24" spans="2:16" x14ac:dyDescent="0.2">
      <c r="B24" s="288" t="s">
        <v>27</v>
      </c>
      <c r="C24" s="287" t="s">
        <v>594</v>
      </c>
      <c r="D24" s="287" t="s">
        <v>595</v>
      </c>
      <c r="E24" s="287" t="s">
        <v>596</v>
      </c>
      <c r="F24" s="287" t="s">
        <v>619</v>
      </c>
      <c r="G24" s="287" t="s">
        <v>621</v>
      </c>
      <c r="H24" s="287" t="s">
        <v>622</v>
      </c>
      <c r="I24" s="889">
        <v>9810</v>
      </c>
      <c r="J24" s="889">
        <v>9810</v>
      </c>
      <c r="K24" s="889">
        <v>9810</v>
      </c>
      <c r="L24" s="890">
        <f t="shared" si="2"/>
        <v>0</v>
      </c>
      <c r="M24" s="891">
        <v>9810</v>
      </c>
      <c r="N24" s="891">
        <v>9810</v>
      </c>
      <c r="O24" s="892">
        <f t="shared" si="3"/>
        <v>0</v>
      </c>
      <c r="P24" s="286"/>
    </row>
    <row r="25" spans="2:16" x14ac:dyDescent="0.2">
      <c r="B25" s="288" t="s">
        <v>27</v>
      </c>
      <c r="C25" s="287" t="s">
        <v>594</v>
      </c>
      <c r="D25" s="287" t="s">
        <v>595</v>
      </c>
      <c r="E25" s="287" t="s">
        <v>596</v>
      </c>
      <c r="F25" s="287" t="s">
        <v>619</v>
      </c>
      <c r="G25" s="287" t="s">
        <v>623</v>
      </c>
      <c r="H25" s="287" t="s">
        <v>624</v>
      </c>
      <c r="I25" s="889">
        <v>1090</v>
      </c>
      <c r="J25" s="889">
        <v>1090</v>
      </c>
      <c r="K25" s="889">
        <v>1090</v>
      </c>
      <c r="L25" s="890">
        <f t="shared" si="2"/>
        <v>0</v>
      </c>
      <c r="M25" s="891">
        <v>1090</v>
      </c>
      <c r="N25" s="891">
        <v>1090</v>
      </c>
      <c r="O25" s="892">
        <f t="shared" si="3"/>
        <v>0</v>
      </c>
      <c r="P25" s="286"/>
    </row>
    <row r="26" spans="2:16" x14ac:dyDescent="0.2">
      <c r="B26" s="288" t="s">
        <v>27</v>
      </c>
      <c r="C26" s="287" t="s">
        <v>594</v>
      </c>
      <c r="D26" s="287" t="s">
        <v>595</v>
      </c>
      <c r="E26" s="287" t="s">
        <v>596</v>
      </c>
      <c r="F26" s="287" t="s">
        <v>619</v>
      </c>
      <c r="G26" s="287" t="s">
        <v>625</v>
      </c>
      <c r="H26" s="287" t="s">
        <v>626</v>
      </c>
      <c r="I26" s="889">
        <v>1172</v>
      </c>
      <c r="J26" s="889">
        <v>1172</v>
      </c>
      <c r="K26" s="889">
        <v>1172</v>
      </c>
      <c r="L26" s="890">
        <f t="shared" si="2"/>
        <v>0</v>
      </c>
      <c r="M26" s="891">
        <v>1172</v>
      </c>
      <c r="N26" s="891">
        <v>1172</v>
      </c>
      <c r="O26" s="892">
        <f t="shared" si="3"/>
        <v>0</v>
      </c>
      <c r="P26" s="286"/>
    </row>
    <row r="27" spans="2:16" x14ac:dyDescent="0.2">
      <c r="B27" s="288" t="s">
        <v>27</v>
      </c>
      <c r="C27" s="287" t="s">
        <v>594</v>
      </c>
      <c r="D27" s="287" t="s">
        <v>595</v>
      </c>
      <c r="E27" s="287" t="s">
        <v>596</v>
      </c>
      <c r="F27" s="287" t="s">
        <v>619</v>
      </c>
      <c r="G27" s="287" t="s">
        <v>627</v>
      </c>
      <c r="H27" s="287" t="s">
        <v>628</v>
      </c>
      <c r="I27" s="889">
        <v>27432</v>
      </c>
      <c r="J27" s="889">
        <v>13966</v>
      </c>
      <c r="K27" s="889">
        <v>13966</v>
      </c>
      <c r="L27" s="890">
        <f t="shared" si="2"/>
        <v>0</v>
      </c>
      <c r="M27" s="891">
        <v>13966</v>
      </c>
      <c r="N27" s="891">
        <v>13966</v>
      </c>
      <c r="O27" s="892">
        <f t="shared" si="3"/>
        <v>0</v>
      </c>
      <c r="P27" s="286"/>
    </row>
    <row r="28" spans="2:16" ht="42.75" x14ac:dyDescent="0.2">
      <c r="B28" s="288" t="s">
        <v>27</v>
      </c>
      <c r="C28" s="287" t="s">
        <v>594</v>
      </c>
      <c r="D28" s="287" t="s">
        <v>595</v>
      </c>
      <c r="E28" s="287" t="s">
        <v>596</v>
      </c>
      <c r="F28" s="287" t="s">
        <v>619</v>
      </c>
      <c r="G28" s="287" t="s">
        <v>629</v>
      </c>
      <c r="H28" s="287" t="s">
        <v>630</v>
      </c>
      <c r="I28" s="889">
        <v>3659672</v>
      </c>
      <c r="J28" s="889">
        <v>2443257</v>
      </c>
      <c r="K28" s="889">
        <v>4791545</v>
      </c>
      <c r="L28" s="890">
        <f t="shared" si="2"/>
        <v>2348288</v>
      </c>
      <c r="M28" s="891">
        <v>2443257</v>
      </c>
      <c r="N28" s="891">
        <f>2342101+261179</f>
        <v>2603280</v>
      </c>
      <c r="O28" s="892">
        <f t="shared" si="3"/>
        <v>160023</v>
      </c>
      <c r="P28" s="855" t="s">
        <v>829</v>
      </c>
    </row>
    <row r="29" spans="2:16" x14ac:dyDescent="0.2">
      <c r="B29" s="288" t="s">
        <v>27</v>
      </c>
      <c r="C29" s="287" t="s">
        <v>594</v>
      </c>
      <c r="D29" s="287" t="s">
        <v>595</v>
      </c>
      <c r="E29" s="287" t="s">
        <v>596</v>
      </c>
      <c r="F29" s="287" t="s">
        <v>619</v>
      </c>
      <c r="G29" s="287" t="s">
        <v>631</v>
      </c>
      <c r="H29" s="287" t="s">
        <v>632</v>
      </c>
      <c r="I29" s="889">
        <v>44276</v>
      </c>
      <c r="J29" s="889">
        <v>22863</v>
      </c>
      <c r="K29" s="889">
        <v>22863</v>
      </c>
      <c r="L29" s="890">
        <f t="shared" si="2"/>
        <v>0</v>
      </c>
      <c r="M29" s="891">
        <v>22863</v>
      </c>
      <c r="N29" s="891">
        <v>22863</v>
      </c>
      <c r="O29" s="892">
        <f t="shared" si="3"/>
        <v>0</v>
      </c>
      <c r="P29" s="286"/>
    </row>
    <row r="30" spans="2:16" x14ac:dyDescent="0.2">
      <c r="B30" s="288" t="s">
        <v>27</v>
      </c>
      <c r="C30" s="287" t="s">
        <v>594</v>
      </c>
      <c r="D30" s="287" t="s">
        <v>595</v>
      </c>
      <c r="E30" s="287" t="s">
        <v>596</v>
      </c>
      <c r="F30" s="287" t="s">
        <v>619</v>
      </c>
      <c r="G30" s="287" t="s">
        <v>633</v>
      </c>
      <c r="H30" s="287" t="s">
        <v>634</v>
      </c>
      <c r="I30" s="889">
        <v>14209</v>
      </c>
      <c r="J30" s="889">
        <v>8570</v>
      </c>
      <c r="K30" s="893">
        <v>8570</v>
      </c>
      <c r="L30" s="894">
        <f t="shared" si="2"/>
        <v>0</v>
      </c>
      <c r="M30" s="895">
        <v>8570</v>
      </c>
      <c r="N30" s="895">
        <v>8570</v>
      </c>
      <c r="O30" s="892">
        <f t="shared" si="3"/>
        <v>0</v>
      </c>
      <c r="P30" s="286"/>
    </row>
    <row r="31" spans="2:16" ht="42.75" x14ac:dyDescent="0.2">
      <c r="B31" s="288" t="s">
        <v>27</v>
      </c>
      <c r="C31" s="287" t="s">
        <v>594</v>
      </c>
      <c r="D31" s="287" t="s">
        <v>595</v>
      </c>
      <c r="E31" s="287" t="s">
        <v>596</v>
      </c>
      <c r="F31" s="287" t="s">
        <v>619</v>
      </c>
      <c r="G31" s="287" t="s">
        <v>635</v>
      </c>
      <c r="H31" s="287" t="s">
        <v>636</v>
      </c>
      <c r="I31" s="889">
        <v>1190878</v>
      </c>
      <c r="J31" s="889">
        <v>1125363</v>
      </c>
      <c r="K31" s="889">
        <v>1199840</v>
      </c>
      <c r="L31" s="890">
        <f t="shared" si="2"/>
        <v>74477</v>
      </c>
      <c r="M31" s="889">
        <v>1125363</v>
      </c>
      <c r="N31" s="891">
        <v>1224088</v>
      </c>
      <c r="O31" s="892">
        <f t="shared" si="3"/>
        <v>98725</v>
      </c>
      <c r="P31" s="855" t="s">
        <v>814</v>
      </c>
    </row>
    <row r="32" spans="2:16" ht="28.5" x14ac:dyDescent="0.2">
      <c r="B32" s="288" t="s">
        <v>27</v>
      </c>
      <c r="C32" s="287" t="s">
        <v>594</v>
      </c>
      <c r="D32" s="287" t="s">
        <v>595</v>
      </c>
      <c r="E32" s="287" t="s">
        <v>596</v>
      </c>
      <c r="F32" s="287" t="s">
        <v>619</v>
      </c>
      <c r="G32" s="287" t="s">
        <v>637</v>
      </c>
      <c r="H32" s="287" t="s">
        <v>638</v>
      </c>
      <c r="I32" s="889">
        <v>259699</v>
      </c>
      <c r="J32" s="889">
        <v>153598</v>
      </c>
      <c r="K32" s="889">
        <v>172360.8</v>
      </c>
      <c r="L32" s="889">
        <f t="shared" si="2"/>
        <v>18762.799999999988</v>
      </c>
      <c r="M32" s="889">
        <v>153598</v>
      </c>
      <c r="N32" s="889">
        <v>181938.97</v>
      </c>
      <c r="O32" s="892">
        <f t="shared" si="3"/>
        <v>28340.97</v>
      </c>
      <c r="P32" s="855" t="s">
        <v>815</v>
      </c>
    </row>
    <row r="33" spans="2:21" ht="28.5" x14ac:dyDescent="0.2">
      <c r="B33" s="288" t="s">
        <v>27</v>
      </c>
      <c r="C33" s="287" t="s">
        <v>594</v>
      </c>
      <c r="D33" s="287" t="s">
        <v>595</v>
      </c>
      <c r="E33" s="287" t="s">
        <v>596</v>
      </c>
      <c r="F33" s="287" t="s">
        <v>619</v>
      </c>
      <c r="G33" s="287" t="s">
        <v>639</v>
      </c>
      <c r="H33" s="287" t="s">
        <v>640</v>
      </c>
      <c r="I33" s="889">
        <v>4821075</v>
      </c>
      <c r="J33" s="889">
        <v>2783036</v>
      </c>
      <c r="K33" s="889">
        <v>2874052</v>
      </c>
      <c r="L33" s="890">
        <f t="shared" si="2"/>
        <v>91016</v>
      </c>
      <c r="M33" s="891">
        <v>2783036</v>
      </c>
      <c r="N33" s="891">
        <v>2867151</v>
      </c>
      <c r="O33" s="892">
        <f t="shared" si="3"/>
        <v>84115</v>
      </c>
      <c r="P33" s="855" t="s">
        <v>809</v>
      </c>
    </row>
    <row r="34" spans="2:21" x14ac:dyDescent="0.2">
      <c r="B34" s="288" t="s">
        <v>27</v>
      </c>
      <c r="C34" s="287" t="s">
        <v>594</v>
      </c>
      <c r="D34" s="287" t="s">
        <v>595</v>
      </c>
      <c r="E34" s="287" t="s">
        <v>596</v>
      </c>
      <c r="F34" s="287" t="s">
        <v>619</v>
      </c>
      <c r="G34" s="287" t="s">
        <v>641</v>
      </c>
      <c r="H34" s="287" t="s">
        <v>642</v>
      </c>
      <c r="I34" s="889">
        <v>2500</v>
      </c>
      <c r="J34" s="889">
        <v>2500</v>
      </c>
      <c r="K34" s="889">
        <v>2500</v>
      </c>
      <c r="L34" s="890">
        <f t="shared" si="2"/>
        <v>0</v>
      </c>
      <c r="M34" s="891">
        <v>2500</v>
      </c>
      <c r="N34" s="891">
        <v>2500</v>
      </c>
      <c r="O34" s="892">
        <f t="shared" si="3"/>
        <v>0</v>
      </c>
      <c r="P34" s="286"/>
    </row>
    <row r="35" spans="2:21" ht="42.75" x14ac:dyDescent="0.2">
      <c r="B35" s="288" t="s">
        <v>27</v>
      </c>
      <c r="C35" s="287" t="s">
        <v>594</v>
      </c>
      <c r="D35" s="287" t="s">
        <v>595</v>
      </c>
      <c r="E35" s="287" t="s">
        <v>596</v>
      </c>
      <c r="F35" s="287" t="s">
        <v>643</v>
      </c>
      <c r="G35" s="287" t="s">
        <v>644</v>
      </c>
      <c r="H35" s="287" t="s">
        <v>645</v>
      </c>
      <c r="I35" s="889">
        <v>50286</v>
      </c>
      <c r="J35" s="889">
        <v>23793</v>
      </c>
      <c r="K35" s="889">
        <v>4500</v>
      </c>
      <c r="L35" s="890">
        <f t="shared" si="2"/>
        <v>-19293</v>
      </c>
      <c r="M35" s="891">
        <v>23793</v>
      </c>
      <c r="N35" s="891">
        <v>4500</v>
      </c>
      <c r="O35" s="892">
        <f t="shared" si="3"/>
        <v>-19293</v>
      </c>
      <c r="P35" s="855" t="s">
        <v>816</v>
      </c>
    </row>
    <row r="36" spans="2:21" x14ac:dyDescent="0.2">
      <c r="B36" s="288" t="s">
        <v>27</v>
      </c>
      <c r="C36" s="287" t="s">
        <v>594</v>
      </c>
      <c r="D36" s="287" t="s">
        <v>595</v>
      </c>
      <c r="E36" s="287" t="s">
        <v>596</v>
      </c>
      <c r="F36" s="287" t="s">
        <v>643</v>
      </c>
      <c r="G36" s="287" t="s">
        <v>646</v>
      </c>
      <c r="H36" s="287" t="s">
        <v>647</v>
      </c>
      <c r="I36" s="889">
        <v>6743</v>
      </c>
      <c r="J36" s="889">
        <v>6525</v>
      </c>
      <c r="K36" s="889">
        <v>6525</v>
      </c>
      <c r="L36" s="890">
        <f t="shared" si="2"/>
        <v>0</v>
      </c>
      <c r="M36" s="891">
        <v>6525</v>
      </c>
      <c r="N36" s="891">
        <v>6525</v>
      </c>
      <c r="O36" s="892">
        <f t="shared" si="3"/>
        <v>0</v>
      </c>
      <c r="P36" s="286"/>
    </row>
    <row r="37" spans="2:21" x14ac:dyDescent="0.2">
      <c r="B37" s="288" t="s">
        <v>27</v>
      </c>
      <c r="C37" s="287" t="s">
        <v>594</v>
      </c>
      <c r="D37" s="287" t="s">
        <v>595</v>
      </c>
      <c r="E37" s="287" t="s">
        <v>596</v>
      </c>
      <c r="F37" s="287" t="s">
        <v>643</v>
      </c>
      <c r="G37" s="287" t="s">
        <v>648</v>
      </c>
      <c r="H37" s="287" t="s">
        <v>649</v>
      </c>
      <c r="I37" s="889">
        <v>600</v>
      </c>
      <c r="J37" s="889">
        <v>300</v>
      </c>
      <c r="K37" s="889">
        <v>300</v>
      </c>
      <c r="L37" s="890">
        <f t="shared" si="2"/>
        <v>0</v>
      </c>
      <c r="M37" s="891">
        <v>300</v>
      </c>
      <c r="N37" s="891">
        <v>300</v>
      </c>
      <c r="O37" s="892">
        <f t="shared" si="3"/>
        <v>0</v>
      </c>
      <c r="P37" s="286"/>
    </row>
    <row r="38" spans="2:21" x14ac:dyDescent="0.2">
      <c r="B38" s="288" t="s">
        <v>27</v>
      </c>
      <c r="C38" s="287" t="s">
        <v>594</v>
      </c>
      <c r="D38" s="287" t="s">
        <v>595</v>
      </c>
      <c r="E38" s="287" t="s">
        <v>596</v>
      </c>
      <c r="F38" s="287" t="s">
        <v>643</v>
      </c>
      <c r="G38" s="287" t="s">
        <v>650</v>
      </c>
      <c r="H38" s="287" t="s">
        <v>651</v>
      </c>
      <c r="I38" s="889">
        <v>2364</v>
      </c>
      <c r="J38" s="889">
        <v>1182</v>
      </c>
      <c r="K38" s="889">
        <v>1182</v>
      </c>
      <c r="L38" s="890">
        <f t="shared" si="2"/>
        <v>0</v>
      </c>
      <c r="M38" s="891">
        <v>1182</v>
      </c>
      <c r="N38" s="891">
        <v>1182</v>
      </c>
      <c r="O38" s="892">
        <f t="shared" si="3"/>
        <v>0</v>
      </c>
      <c r="P38" s="286"/>
    </row>
    <row r="39" spans="2:21" x14ac:dyDescent="0.2">
      <c r="B39" s="288" t="s">
        <v>27</v>
      </c>
      <c r="C39" s="287" t="s">
        <v>594</v>
      </c>
      <c r="D39" s="287" t="s">
        <v>595</v>
      </c>
      <c r="E39" s="287" t="s">
        <v>596</v>
      </c>
      <c r="F39" s="287" t="s">
        <v>643</v>
      </c>
      <c r="G39" s="287" t="s">
        <v>652</v>
      </c>
      <c r="H39" s="287" t="s">
        <v>653</v>
      </c>
      <c r="I39" s="889">
        <v>252431</v>
      </c>
      <c r="J39" s="889">
        <v>190599</v>
      </c>
      <c r="K39" s="889">
        <v>210000</v>
      </c>
      <c r="L39" s="890">
        <f t="shared" si="2"/>
        <v>19401</v>
      </c>
      <c r="M39" s="891">
        <v>190599</v>
      </c>
      <c r="N39" s="891">
        <v>210000</v>
      </c>
      <c r="O39" s="892">
        <f t="shared" si="3"/>
        <v>19401</v>
      </c>
      <c r="P39" s="286" t="s">
        <v>817</v>
      </c>
    </row>
    <row r="40" spans="2:21" x14ac:dyDescent="0.2">
      <c r="B40" s="288" t="s">
        <v>27</v>
      </c>
      <c r="C40" s="287" t="s">
        <v>594</v>
      </c>
      <c r="D40" s="287" t="s">
        <v>595</v>
      </c>
      <c r="E40" s="287" t="s">
        <v>596</v>
      </c>
      <c r="F40" s="287" t="s">
        <v>654</v>
      </c>
      <c r="G40" s="287" t="s">
        <v>654</v>
      </c>
      <c r="H40" s="287" t="s">
        <v>655</v>
      </c>
      <c r="I40" s="889">
        <v>191541</v>
      </c>
      <c r="J40" s="889">
        <v>0</v>
      </c>
      <c r="K40" s="889">
        <v>0</v>
      </c>
      <c r="L40" s="890">
        <f t="shared" si="2"/>
        <v>0</v>
      </c>
      <c r="M40" s="891">
        <v>0</v>
      </c>
      <c r="N40" s="903">
        <v>0</v>
      </c>
      <c r="O40" s="892">
        <f t="shared" si="3"/>
        <v>0</v>
      </c>
      <c r="P40" s="286"/>
    </row>
    <row r="41" spans="2:21" x14ac:dyDescent="0.2">
      <c r="B41" s="288" t="s">
        <v>27</v>
      </c>
      <c r="C41" s="287" t="s">
        <v>594</v>
      </c>
      <c r="D41" s="287" t="s">
        <v>595</v>
      </c>
      <c r="E41" s="287" t="s">
        <v>596</v>
      </c>
      <c r="F41" s="287" t="s">
        <v>654</v>
      </c>
      <c r="G41" s="287" t="s">
        <v>656</v>
      </c>
      <c r="H41" s="287" t="s">
        <v>657</v>
      </c>
      <c r="I41" s="889">
        <v>61090</v>
      </c>
      <c r="J41" s="889">
        <v>14294</v>
      </c>
      <c r="K41" s="889">
        <v>14294</v>
      </c>
      <c r="L41" s="890">
        <f t="shared" si="2"/>
        <v>0</v>
      </c>
      <c r="M41" s="891">
        <v>14294</v>
      </c>
      <c r="N41" s="891">
        <v>14294</v>
      </c>
      <c r="O41" s="892">
        <f t="shared" si="3"/>
        <v>0</v>
      </c>
      <c r="P41" s="286"/>
    </row>
    <row r="42" spans="2:21" s="3" customFormat="1" x14ac:dyDescent="0.2">
      <c r="B42" s="71"/>
      <c r="C42" s="70"/>
      <c r="D42" s="70"/>
      <c r="J42" s="70"/>
    </row>
    <row r="43" spans="2:21" s="3" customFormat="1" x14ac:dyDescent="0.2">
      <c r="B43" s="71"/>
      <c r="C43" s="70"/>
      <c r="D43" s="70"/>
      <c r="J43" s="70"/>
    </row>
    <row r="44" spans="2:21" s="3" customFormat="1" ht="15" thickBot="1" x14ac:dyDescent="0.25">
      <c r="B44" s="71"/>
      <c r="C44" s="70"/>
      <c r="D44" s="70"/>
      <c r="J44" s="70"/>
    </row>
    <row r="45" spans="2:21" s="98" customFormat="1" ht="15" x14ac:dyDescent="0.25">
      <c r="B45" s="697" t="s">
        <v>203</v>
      </c>
      <c r="C45" s="697"/>
      <c r="D45" s="697"/>
      <c r="E45" s="697"/>
      <c r="F45" s="697"/>
      <c r="G45" s="697"/>
      <c r="H45" s="697"/>
      <c r="I45" s="697"/>
      <c r="J45" s="697"/>
      <c r="K45" s="698" t="s">
        <v>28</v>
      </c>
      <c r="L45" s="699"/>
      <c r="M45" s="699"/>
      <c r="N45" s="698" t="s">
        <v>28</v>
      </c>
      <c r="O45" s="699"/>
      <c r="P45" s="700" t="s">
        <v>28</v>
      </c>
    </row>
    <row r="46" spans="2:21" s="285" customFormat="1" ht="53.25" customHeight="1" thickBot="1" x14ac:dyDescent="0.25">
      <c r="B46" s="701" t="s">
        <v>27</v>
      </c>
      <c r="C46" s="702" t="s">
        <v>26</v>
      </c>
      <c r="D46" s="702" t="s">
        <v>25</v>
      </c>
      <c r="E46" s="703" t="s">
        <v>5</v>
      </c>
      <c r="F46" s="702" t="s">
        <v>24</v>
      </c>
      <c r="G46" s="703" t="s">
        <v>202</v>
      </c>
      <c r="H46" s="703" t="s">
        <v>21</v>
      </c>
      <c r="I46" s="702" t="s">
        <v>201</v>
      </c>
      <c r="J46" s="702" t="s">
        <v>200</v>
      </c>
      <c r="K46" s="702" t="s">
        <v>199</v>
      </c>
      <c r="L46" s="702" t="s">
        <v>198</v>
      </c>
      <c r="M46" s="702" t="s">
        <v>197</v>
      </c>
      <c r="N46" s="702" t="s">
        <v>196</v>
      </c>
      <c r="O46" s="702" t="s">
        <v>195</v>
      </c>
      <c r="P46" s="852" t="s">
        <v>194</v>
      </c>
      <c r="Q46" s="93"/>
      <c r="R46" s="93"/>
      <c r="S46" s="93"/>
      <c r="T46" s="93"/>
      <c r="U46" s="93"/>
    </row>
    <row r="47" spans="2:21" s="98" customFormat="1" x14ac:dyDescent="0.2">
      <c r="B47" s="705" t="s">
        <v>27</v>
      </c>
      <c r="C47" s="706" t="s">
        <v>594</v>
      </c>
      <c r="D47" s="706" t="s">
        <v>595</v>
      </c>
      <c r="E47" s="706" t="s">
        <v>596</v>
      </c>
      <c r="F47" s="706" t="s">
        <v>658</v>
      </c>
      <c r="G47" s="706" t="s">
        <v>659</v>
      </c>
      <c r="H47" s="706" t="s">
        <v>660</v>
      </c>
      <c r="I47" s="707">
        <v>2306</v>
      </c>
      <c r="J47" s="707">
        <v>2306</v>
      </c>
      <c r="K47" s="848">
        <v>2306</v>
      </c>
      <c r="L47" s="849">
        <f>K47-J47</f>
        <v>0</v>
      </c>
      <c r="M47" s="850">
        <v>2306</v>
      </c>
      <c r="N47" s="850">
        <v>2306</v>
      </c>
      <c r="O47" s="704">
        <f>N47-M47</f>
        <v>0</v>
      </c>
      <c r="P47" s="854"/>
      <c r="Q47" s="853"/>
      <c r="R47" s="853"/>
      <c r="S47" s="853"/>
      <c r="T47" s="853"/>
      <c r="U47" s="89"/>
    </row>
    <row r="48" spans="2:21" s="98" customFormat="1" ht="30" customHeight="1" x14ac:dyDescent="0.2">
      <c r="B48" s="705" t="s">
        <v>27</v>
      </c>
      <c r="C48" s="706" t="s">
        <v>594</v>
      </c>
      <c r="D48" s="706" t="s">
        <v>595</v>
      </c>
      <c r="E48" s="706" t="s">
        <v>596</v>
      </c>
      <c r="F48" s="706" t="s">
        <v>658</v>
      </c>
      <c r="G48" s="706" t="s">
        <v>661</v>
      </c>
      <c r="H48" s="706" t="s">
        <v>662</v>
      </c>
      <c r="I48" s="707">
        <v>196000</v>
      </c>
      <c r="J48" s="707">
        <v>196000</v>
      </c>
      <c r="K48" s="848">
        <v>196000</v>
      </c>
      <c r="L48" s="849">
        <f t="shared" ref="L48:L64" si="4">K48-J48</f>
        <v>0</v>
      </c>
      <c r="M48" s="850">
        <v>196000</v>
      </c>
      <c r="N48" s="850">
        <v>196000</v>
      </c>
      <c r="O48" s="704">
        <f t="shared" ref="O48:O64" si="5">N48-M48</f>
        <v>0</v>
      </c>
      <c r="P48" s="854"/>
      <c r="Q48" s="857"/>
      <c r="R48" s="857"/>
      <c r="S48" s="857"/>
      <c r="T48" s="857"/>
      <c r="U48" s="89"/>
    </row>
    <row r="49" spans="2:20" s="98" customFormat="1" x14ac:dyDescent="0.2">
      <c r="B49" s="705" t="s">
        <v>27</v>
      </c>
      <c r="C49" s="706" t="s">
        <v>594</v>
      </c>
      <c r="D49" s="706" t="s">
        <v>595</v>
      </c>
      <c r="E49" s="706" t="s">
        <v>596</v>
      </c>
      <c r="F49" s="706" t="s">
        <v>658</v>
      </c>
      <c r="G49" s="706" t="s">
        <v>663</v>
      </c>
      <c r="H49" s="706" t="s">
        <v>664</v>
      </c>
      <c r="I49" s="707">
        <v>28884</v>
      </c>
      <c r="J49" s="707">
        <v>29921</v>
      </c>
      <c r="K49" s="848">
        <v>29921</v>
      </c>
      <c r="L49" s="849">
        <f t="shared" si="4"/>
        <v>0</v>
      </c>
      <c r="M49" s="850">
        <v>29921</v>
      </c>
      <c r="N49" s="850">
        <v>29921</v>
      </c>
      <c r="O49" s="704">
        <f t="shared" si="5"/>
        <v>0</v>
      </c>
      <c r="P49" s="854"/>
      <c r="Q49" s="857"/>
      <c r="R49" s="857"/>
      <c r="S49" s="857"/>
      <c r="T49" s="857"/>
    </row>
    <row r="50" spans="2:20" s="98" customFormat="1" x14ac:dyDescent="0.2">
      <c r="B50" s="705" t="s">
        <v>27</v>
      </c>
      <c r="C50" s="706" t="s">
        <v>594</v>
      </c>
      <c r="D50" s="706" t="s">
        <v>595</v>
      </c>
      <c r="E50" s="706" t="s">
        <v>596</v>
      </c>
      <c r="F50" s="706" t="s">
        <v>658</v>
      </c>
      <c r="G50" s="706" t="s">
        <v>665</v>
      </c>
      <c r="H50" s="706" t="s">
        <v>666</v>
      </c>
      <c r="I50" s="707">
        <v>99234</v>
      </c>
      <c r="J50" s="707">
        <v>103585</v>
      </c>
      <c r="K50" s="848">
        <v>103585</v>
      </c>
      <c r="L50" s="849">
        <f t="shared" si="4"/>
        <v>0</v>
      </c>
      <c r="M50" s="850">
        <v>103585</v>
      </c>
      <c r="N50" s="850">
        <v>103585</v>
      </c>
      <c r="O50" s="704">
        <f t="shared" si="5"/>
        <v>0</v>
      </c>
      <c r="P50" s="856"/>
    </row>
    <row r="51" spans="2:20" s="98" customFormat="1" x14ac:dyDescent="0.2">
      <c r="B51" s="705" t="s">
        <v>27</v>
      </c>
      <c r="C51" s="706" t="s">
        <v>594</v>
      </c>
      <c r="D51" s="706" t="s">
        <v>595</v>
      </c>
      <c r="E51" s="706" t="s">
        <v>596</v>
      </c>
      <c r="F51" s="706" t="s">
        <v>658</v>
      </c>
      <c r="G51" s="706" t="s">
        <v>667</v>
      </c>
      <c r="H51" s="858" t="s">
        <v>668</v>
      </c>
      <c r="I51" s="707">
        <v>98154</v>
      </c>
      <c r="J51" s="707">
        <v>98313</v>
      </c>
      <c r="K51" s="848">
        <v>98313</v>
      </c>
      <c r="L51" s="849">
        <f t="shared" si="4"/>
        <v>0</v>
      </c>
      <c r="M51" s="850">
        <v>98313</v>
      </c>
      <c r="N51" s="850">
        <v>98313</v>
      </c>
      <c r="O51" s="704">
        <f t="shared" si="5"/>
        <v>0</v>
      </c>
      <c r="P51" s="851"/>
    </row>
    <row r="52" spans="2:20" s="98" customFormat="1" x14ac:dyDescent="0.2">
      <c r="B52" s="705" t="s">
        <v>27</v>
      </c>
      <c r="C52" s="706" t="s">
        <v>594</v>
      </c>
      <c r="D52" s="706" t="s">
        <v>595</v>
      </c>
      <c r="E52" s="706" t="s">
        <v>596</v>
      </c>
      <c r="F52" s="706" t="s">
        <v>658</v>
      </c>
      <c r="G52" s="706" t="s">
        <v>669</v>
      </c>
      <c r="H52" s="706" t="s">
        <v>670</v>
      </c>
      <c r="I52" s="707">
        <v>22000</v>
      </c>
      <c r="J52" s="707">
        <v>22000</v>
      </c>
      <c r="K52" s="848">
        <v>22000</v>
      </c>
      <c r="L52" s="849">
        <f t="shared" si="4"/>
        <v>0</v>
      </c>
      <c r="M52" s="850">
        <v>22000</v>
      </c>
      <c r="N52" s="850">
        <v>22000</v>
      </c>
      <c r="O52" s="704">
        <f t="shared" si="5"/>
        <v>0</v>
      </c>
      <c r="P52" s="851"/>
    </row>
    <row r="53" spans="2:20" s="98" customFormat="1" x14ac:dyDescent="0.2">
      <c r="B53" s="705" t="s">
        <v>27</v>
      </c>
      <c r="C53" s="706" t="s">
        <v>594</v>
      </c>
      <c r="D53" s="706" t="s">
        <v>595</v>
      </c>
      <c r="E53" s="706" t="s">
        <v>596</v>
      </c>
      <c r="F53" s="706" t="s">
        <v>658</v>
      </c>
      <c r="G53" s="706" t="s">
        <v>671</v>
      </c>
      <c r="H53" s="706" t="s">
        <v>672</v>
      </c>
      <c r="I53" s="707">
        <v>93000</v>
      </c>
      <c r="J53" s="707">
        <v>93000</v>
      </c>
      <c r="K53" s="848">
        <v>93000</v>
      </c>
      <c r="L53" s="849">
        <f t="shared" si="4"/>
        <v>0</v>
      </c>
      <c r="M53" s="850">
        <v>93000</v>
      </c>
      <c r="N53" s="850">
        <v>93000</v>
      </c>
      <c r="O53" s="915">
        <f t="shared" si="5"/>
        <v>0</v>
      </c>
      <c r="P53" s="964"/>
      <c r="Q53" s="965"/>
      <c r="R53" s="965"/>
      <c r="S53" s="965"/>
      <c r="T53" s="966"/>
    </row>
    <row r="54" spans="2:20" s="98" customFormat="1" x14ac:dyDescent="0.2">
      <c r="B54" s="705" t="s">
        <v>27</v>
      </c>
      <c r="C54" s="706" t="s">
        <v>594</v>
      </c>
      <c r="D54" s="706" t="s">
        <v>595</v>
      </c>
      <c r="E54" s="706" t="s">
        <v>596</v>
      </c>
      <c r="F54" s="706" t="s">
        <v>658</v>
      </c>
      <c r="G54" s="706" t="s">
        <v>673</v>
      </c>
      <c r="H54" s="706" t="s">
        <v>674</v>
      </c>
      <c r="I54" s="707">
        <v>12600</v>
      </c>
      <c r="J54" s="707">
        <v>12600</v>
      </c>
      <c r="K54" s="848">
        <v>12600</v>
      </c>
      <c r="L54" s="849">
        <f t="shared" si="4"/>
        <v>0</v>
      </c>
      <c r="M54" s="850">
        <v>12600</v>
      </c>
      <c r="N54" s="850">
        <v>12600</v>
      </c>
      <c r="O54" s="704">
        <f t="shared" si="5"/>
        <v>0</v>
      </c>
      <c r="P54" s="854"/>
    </row>
    <row r="55" spans="2:20" s="98" customFormat="1" x14ac:dyDescent="0.2">
      <c r="B55" s="705" t="s">
        <v>27</v>
      </c>
      <c r="C55" s="706" t="s">
        <v>594</v>
      </c>
      <c r="D55" s="706" t="s">
        <v>595</v>
      </c>
      <c r="E55" s="706" t="s">
        <v>596</v>
      </c>
      <c r="F55" s="706" t="s">
        <v>658</v>
      </c>
      <c r="G55" s="706" t="s">
        <v>675</v>
      </c>
      <c r="H55" s="706" t="s">
        <v>676</v>
      </c>
      <c r="I55" s="707">
        <v>6733</v>
      </c>
      <c r="J55" s="707">
        <v>6872</v>
      </c>
      <c r="K55" s="848">
        <v>6872</v>
      </c>
      <c r="L55" s="849">
        <f t="shared" si="4"/>
        <v>0</v>
      </c>
      <c r="M55" s="850">
        <v>6872</v>
      </c>
      <c r="N55" s="850">
        <v>6872</v>
      </c>
      <c r="O55" s="704">
        <f t="shared" si="5"/>
        <v>0</v>
      </c>
      <c r="P55" s="851"/>
    </row>
    <row r="56" spans="2:20" s="98" customFormat="1" x14ac:dyDescent="0.2">
      <c r="B56" s="705" t="s">
        <v>27</v>
      </c>
      <c r="C56" s="706" t="s">
        <v>594</v>
      </c>
      <c r="D56" s="706" t="s">
        <v>595</v>
      </c>
      <c r="E56" s="706" t="s">
        <v>596</v>
      </c>
      <c r="F56" s="706" t="s">
        <v>658</v>
      </c>
      <c r="G56" s="706" t="s">
        <v>677</v>
      </c>
      <c r="H56" s="706" t="s">
        <v>678</v>
      </c>
      <c r="I56" s="707">
        <v>1788</v>
      </c>
      <c r="J56" s="707">
        <v>1788</v>
      </c>
      <c r="K56" s="848">
        <v>1788</v>
      </c>
      <c r="L56" s="849">
        <f t="shared" si="4"/>
        <v>0</v>
      </c>
      <c r="M56" s="850">
        <v>1788</v>
      </c>
      <c r="N56" s="850">
        <v>1788</v>
      </c>
      <c r="O56" s="704">
        <f t="shared" si="5"/>
        <v>0</v>
      </c>
      <c r="P56" s="851"/>
    </row>
    <row r="57" spans="2:20" s="98" customFormat="1" x14ac:dyDescent="0.2">
      <c r="B57" s="705" t="s">
        <v>27</v>
      </c>
      <c r="C57" s="706" t="s">
        <v>594</v>
      </c>
      <c r="D57" s="706" t="s">
        <v>595</v>
      </c>
      <c r="E57" s="706" t="s">
        <v>596</v>
      </c>
      <c r="F57" s="706" t="s">
        <v>658</v>
      </c>
      <c r="G57" s="706" t="s">
        <v>679</v>
      </c>
      <c r="H57" s="858" t="s">
        <v>680</v>
      </c>
      <c r="I57" s="707">
        <v>5683</v>
      </c>
      <c r="J57" s="707">
        <v>6219</v>
      </c>
      <c r="K57" s="848">
        <v>6219</v>
      </c>
      <c r="L57" s="849">
        <f t="shared" si="4"/>
        <v>0</v>
      </c>
      <c r="M57" s="850">
        <v>6219</v>
      </c>
      <c r="N57" s="850">
        <v>6219</v>
      </c>
      <c r="O57" s="704">
        <f t="shared" si="5"/>
        <v>0</v>
      </c>
      <c r="P57" s="851"/>
    </row>
    <row r="58" spans="2:20" s="98" customFormat="1" x14ac:dyDescent="0.2">
      <c r="B58" s="705" t="s">
        <v>27</v>
      </c>
      <c r="C58" s="706" t="s">
        <v>594</v>
      </c>
      <c r="D58" s="706" t="s">
        <v>595</v>
      </c>
      <c r="E58" s="706" t="s">
        <v>596</v>
      </c>
      <c r="F58" s="706" t="s">
        <v>658</v>
      </c>
      <c r="G58" s="706" t="s">
        <v>681</v>
      </c>
      <c r="H58" s="706" t="s">
        <v>682</v>
      </c>
      <c r="I58" s="707">
        <v>78000</v>
      </c>
      <c r="J58" s="707">
        <v>53466</v>
      </c>
      <c r="K58" s="848">
        <v>56000</v>
      </c>
      <c r="L58" s="849">
        <f t="shared" si="4"/>
        <v>2534</v>
      </c>
      <c r="M58" s="850">
        <v>53466</v>
      </c>
      <c r="N58" s="850">
        <v>58000</v>
      </c>
      <c r="O58" s="704">
        <f t="shared" si="5"/>
        <v>4534</v>
      </c>
      <c r="P58" s="888" t="s">
        <v>819</v>
      </c>
    </row>
    <row r="59" spans="2:20" s="98" customFormat="1" ht="27.75" customHeight="1" x14ac:dyDescent="0.2">
      <c r="B59" s="705" t="s">
        <v>27</v>
      </c>
      <c r="C59" s="706" t="s">
        <v>594</v>
      </c>
      <c r="D59" s="706" t="s">
        <v>595</v>
      </c>
      <c r="E59" s="706" t="s">
        <v>596</v>
      </c>
      <c r="F59" s="706" t="s">
        <v>658</v>
      </c>
      <c r="G59" s="706" t="s">
        <v>683</v>
      </c>
      <c r="H59" s="706" t="s">
        <v>684</v>
      </c>
      <c r="I59" s="707">
        <v>60914</v>
      </c>
      <c r="J59" s="707">
        <v>56507</v>
      </c>
      <c r="K59" s="848">
        <v>79507</v>
      </c>
      <c r="L59" s="849">
        <f t="shared" si="4"/>
        <v>23000</v>
      </c>
      <c r="M59" s="850">
        <v>79507</v>
      </c>
      <c r="N59" s="850">
        <v>56507</v>
      </c>
      <c r="O59" s="704">
        <f t="shared" si="5"/>
        <v>-23000</v>
      </c>
      <c r="P59" s="962" t="s">
        <v>820</v>
      </c>
    </row>
    <row r="60" spans="2:20" s="98" customFormat="1" ht="15" customHeight="1" x14ac:dyDescent="0.2">
      <c r="B60" s="705" t="s">
        <v>27</v>
      </c>
      <c r="C60" s="706" t="s">
        <v>594</v>
      </c>
      <c r="D60" s="706" t="s">
        <v>595</v>
      </c>
      <c r="E60" s="706" t="s">
        <v>596</v>
      </c>
      <c r="F60" s="706" t="s">
        <v>658</v>
      </c>
      <c r="G60" s="706" t="s">
        <v>685</v>
      </c>
      <c r="H60" s="706" t="s">
        <v>686</v>
      </c>
      <c r="I60" s="707">
        <v>94762</v>
      </c>
      <c r="J60" s="707">
        <v>68437</v>
      </c>
      <c r="K60" s="848">
        <v>85437</v>
      </c>
      <c r="L60" s="849">
        <f t="shared" si="4"/>
        <v>17000</v>
      </c>
      <c r="M60" s="850">
        <v>85437</v>
      </c>
      <c r="N60" s="850">
        <v>68437</v>
      </c>
      <c r="O60" s="704">
        <f t="shared" si="5"/>
        <v>-17000</v>
      </c>
      <c r="P60" s="963"/>
    </row>
    <row r="61" spans="2:20" s="98" customFormat="1" x14ac:dyDescent="0.2">
      <c r="B61" s="705" t="s">
        <v>27</v>
      </c>
      <c r="C61" s="706" t="s">
        <v>594</v>
      </c>
      <c r="D61" s="706" t="s">
        <v>595</v>
      </c>
      <c r="E61" s="706" t="s">
        <v>596</v>
      </c>
      <c r="F61" s="706" t="s">
        <v>658</v>
      </c>
      <c r="G61" s="706" t="s">
        <v>687</v>
      </c>
      <c r="H61" s="706" t="s">
        <v>688</v>
      </c>
      <c r="I61" s="707">
        <v>310000</v>
      </c>
      <c r="J61" s="707">
        <v>220000</v>
      </c>
      <c r="K61" s="848">
        <v>276240.04440000007</v>
      </c>
      <c r="L61" s="849">
        <f t="shared" si="4"/>
        <v>56240.044400000072</v>
      </c>
      <c r="M61" s="848">
        <v>220000</v>
      </c>
      <c r="N61" s="848">
        <v>285217.84584300005</v>
      </c>
      <c r="O61" s="704">
        <f t="shared" si="5"/>
        <v>65217.845843000046</v>
      </c>
      <c r="P61" s="967" t="s">
        <v>819</v>
      </c>
      <c r="Q61" s="968"/>
      <c r="R61" s="968"/>
      <c r="S61" s="968"/>
      <c r="T61" s="969"/>
    </row>
    <row r="62" spans="2:20" s="98" customFormat="1" x14ac:dyDescent="0.2">
      <c r="B62" s="705" t="s">
        <v>27</v>
      </c>
      <c r="C62" s="706" t="s">
        <v>594</v>
      </c>
      <c r="D62" s="706" t="s">
        <v>595</v>
      </c>
      <c r="E62" s="706" t="s">
        <v>596</v>
      </c>
      <c r="F62" s="706" t="s">
        <v>658</v>
      </c>
      <c r="G62" s="706" t="s">
        <v>689</v>
      </c>
      <c r="H62" s="706" t="s">
        <v>690</v>
      </c>
      <c r="I62" s="707">
        <v>2563</v>
      </c>
      <c r="J62" s="707">
        <v>2732</v>
      </c>
      <c r="K62" s="848">
        <v>2732</v>
      </c>
      <c r="L62" s="849">
        <f t="shared" si="4"/>
        <v>0</v>
      </c>
      <c r="M62" s="850">
        <v>2732</v>
      </c>
      <c r="N62" s="850">
        <v>2732</v>
      </c>
      <c r="O62" s="704">
        <f t="shared" si="5"/>
        <v>0</v>
      </c>
      <c r="P62" s="851"/>
    </row>
    <row r="63" spans="2:20" s="98" customFormat="1" x14ac:dyDescent="0.2">
      <c r="B63" s="705" t="s">
        <v>27</v>
      </c>
      <c r="C63" s="706" t="s">
        <v>594</v>
      </c>
      <c r="D63" s="706" t="s">
        <v>595</v>
      </c>
      <c r="E63" s="706" t="s">
        <v>596</v>
      </c>
      <c r="F63" s="706" t="s">
        <v>658</v>
      </c>
      <c r="G63" s="706" t="s">
        <v>691</v>
      </c>
      <c r="H63" s="706" t="s">
        <v>692</v>
      </c>
      <c r="I63" s="707">
        <v>10500</v>
      </c>
      <c r="J63" s="707">
        <v>10500</v>
      </c>
      <c r="K63" s="848">
        <v>10500</v>
      </c>
      <c r="L63" s="849">
        <f t="shared" si="4"/>
        <v>0</v>
      </c>
      <c r="M63" s="850">
        <v>10500</v>
      </c>
      <c r="N63" s="850">
        <v>10500</v>
      </c>
      <c r="O63" s="704">
        <f t="shared" si="5"/>
        <v>0</v>
      </c>
      <c r="P63" s="854"/>
    </row>
    <row r="64" spans="2:20" s="98" customFormat="1" x14ac:dyDescent="0.2">
      <c r="B64" s="705" t="s">
        <v>27</v>
      </c>
      <c r="C64" s="706" t="s">
        <v>594</v>
      </c>
      <c r="D64" s="706" t="s">
        <v>595</v>
      </c>
      <c r="E64" s="706" t="s">
        <v>596</v>
      </c>
      <c r="F64" s="706" t="s">
        <v>693</v>
      </c>
      <c r="G64" s="706" t="s">
        <v>694</v>
      </c>
      <c r="H64" s="706" t="s">
        <v>695</v>
      </c>
      <c r="I64" s="707">
        <v>-50000</v>
      </c>
      <c r="J64" s="707">
        <v>-50000</v>
      </c>
      <c r="K64" s="848">
        <v>-50000</v>
      </c>
      <c r="L64" s="849">
        <f t="shared" si="4"/>
        <v>0</v>
      </c>
      <c r="M64" s="850">
        <v>0</v>
      </c>
      <c r="N64" s="850">
        <v>0</v>
      </c>
      <c r="O64" s="704">
        <f t="shared" si="5"/>
        <v>0</v>
      </c>
      <c r="P64" s="708"/>
    </row>
    <row r="65" spans="2:10" x14ac:dyDescent="0.2">
      <c r="B65" s="284"/>
      <c r="C65" s="283"/>
      <c r="D65" s="283"/>
      <c r="E65" s="36"/>
      <c r="F65" s="36"/>
      <c r="J65" s="283"/>
    </row>
    <row r="66" spans="2:10" ht="15" x14ac:dyDescent="0.25">
      <c r="B66" s="35"/>
      <c r="D66" s="282"/>
    </row>
  </sheetData>
  <mergeCells count="3">
    <mergeCell ref="P59:P60"/>
    <mergeCell ref="P53:T53"/>
    <mergeCell ref="P61:T61"/>
  </mergeCells>
  <pageMargins left="0.16" right="0.16" top="0.33" bottom="0.36" header="0.17" footer="0.18"/>
  <pageSetup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W35"/>
  <sheetViews>
    <sheetView view="pageBreakPreview" zoomScale="90" zoomScaleNormal="100" zoomScaleSheetLayoutView="90" workbookViewId="0">
      <selection activeCell="C7" sqref="C7"/>
    </sheetView>
  </sheetViews>
  <sheetFormatPr defaultColWidth="9.140625" defaultRowHeight="14.25" x14ac:dyDescent="0.2"/>
  <cols>
    <col min="1" max="1" width="5" style="36" customWidth="1"/>
    <col min="2" max="2" width="8.7109375" style="36" bestFit="1" customWidth="1"/>
    <col min="3" max="3" width="13.7109375" style="36" bestFit="1" customWidth="1"/>
    <col min="4" max="5" width="13.7109375" style="281" bestFit="1" customWidth="1"/>
    <col min="6" max="6" width="15" style="281" bestFit="1" customWidth="1"/>
    <col min="7" max="8" width="12.42578125" style="36" bestFit="1" customWidth="1"/>
    <col min="9" max="9" width="20" style="36" customWidth="1"/>
    <col min="10" max="10" width="11" style="36" customWidth="1"/>
    <col min="11" max="11" width="15" style="36" bestFit="1" customWidth="1"/>
    <col min="12" max="12" width="22.85546875" style="36" customWidth="1"/>
    <col min="13" max="13" width="18.7109375" style="36" bestFit="1" customWidth="1"/>
    <col min="14" max="14" width="40.28515625" style="36" bestFit="1" customWidth="1"/>
    <col min="15" max="15" width="11.28515625" style="36" bestFit="1" customWidth="1"/>
    <col min="16" max="16" width="26.28515625" style="36" customWidth="1"/>
    <col min="17" max="17" width="10" style="36" bestFit="1" customWidth="1"/>
    <col min="18" max="19" width="13.7109375" style="36" bestFit="1" customWidth="1"/>
    <col min="20" max="20" width="28.28515625" style="36" customWidth="1"/>
    <col min="21" max="21" width="18.7109375" style="36" bestFit="1" customWidth="1"/>
    <col min="22" max="22" width="20.140625" style="36" bestFit="1" customWidth="1"/>
    <col min="23" max="23" width="27" style="36" customWidth="1"/>
    <col min="24" max="16384" width="9.140625" style="36"/>
  </cols>
  <sheetData>
    <row r="1" spans="2:23" ht="21" customHeight="1" x14ac:dyDescent="0.2"/>
    <row r="2" spans="2:23" ht="18" x14ac:dyDescent="0.25">
      <c r="B2" s="301" t="s">
        <v>231</v>
      </c>
      <c r="C2" s="300"/>
    </row>
    <row r="3" spans="2:23" ht="18" x14ac:dyDescent="0.25">
      <c r="B3" s="299" t="s">
        <v>209</v>
      </c>
    </row>
    <row r="5" spans="2:23" x14ac:dyDescent="0.2">
      <c r="B5" s="36" t="s">
        <v>230</v>
      </c>
    </row>
    <row r="6" spans="2:23" ht="15" x14ac:dyDescent="0.25">
      <c r="B6" s="298" t="s">
        <v>229</v>
      </c>
      <c r="F6" s="36"/>
    </row>
    <row r="7" spans="2:23" ht="15" x14ac:dyDescent="0.25">
      <c r="B7" s="298"/>
      <c r="C7" s="36" t="s">
        <v>479</v>
      </c>
      <c r="F7" s="36"/>
    </row>
    <row r="8" spans="2:23" ht="15" x14ac:dyDescent="0.25">
      <c r="B8" s="298"/>
      <c r="C8" s="36" t="s">
        <v>228</v>
      </c>
      <c r="F8" s="36"/>
    </row>
    <row r="9" spans="2:23" ht="15" x14ac:dyDescent="0.25">
      <c r="B9" s="298"/>
      <c r="C9" s="36" t="s">
        <v>478</v>
      </c>
      <c r="F9" s="36"/>
    </row>
    <row r="10" spans="2:23" ht="15" x14ac:dyDescent="0.25">
      <c r="B10" s="298" t="s">
        <v>480</v>
      </c>
      <c r="F10" s="36"/>
    </row>
    <row r="11" spans="2:23" ht="15" x14ac:dyDescent="0.25">
      <c r="B11" s="298" t="s">
        <v>466</v>
      </c>
      <c r="F11" s="36"/>
    </row>
    <row r="12" spans="2:23" x14ac:dyDescent="0.2">
      <c r="B12" s="284" t="s">
        <v>32</v>
      </c>
      <c r="F12" s="36"/>
    </row>
    <row r="13" spans="2:23" x14ac:dyDescent="0.2">
      <c r="B13" s="284"/>
      <c r="C13" s="283"/>
      <c r="D13" s="283"/>
      <c r="E13" s="36"/>
      <c r="F13" s="36"/>
      <c r="J13" s="283"/>
    </row>
    <row r="14" spans="2:23" x14ac:dyDescent="0.2">
      <c r="B14" s="284"/>
      <c r="C14" s="283"/>
      <c r="D14" s="283"/>
      <c r="E14" s="36"/>
      <c r="F14" s="36"/>
      <c r="J14" s="283"/>
    </row>
    <row r="15" spans="2:23" ht="15" x14ac:dyDescent="0.25">
      <c r="B15" s="970" t="s">
        <v>227</v>
      </c>
      <c r="C15" s="970"/>
      <c r="D15" s="970"/>
      <c r="E15" s="970"/>
      <c r="F15" s="970"/>
      <c r="G15" s="970"/>
      <c r="H15" s="970"/>
      <c r="I15" s="970"/>
      <c r="J15" s="970"/>
      <c r="K15" s="970"/>
      <c r="L15" s="970"/>
      <c r="M15" s="970"/>
      <c r="N15" s="970"/>
      <c r="O15" s="970"/>
      <c r="P15" s="970"/>
      <c r="Q15" s="970"/>
      <c r="R15" s="970"/>
      <c r="S15" s="970"/>
      <c r="T15" s="970"/>
      <c r="U15" s="970"/>
      <c r="V15" s="970"/>
      <c r="W15" s="709" t="s">
        <v>575</v>
      </c>
    </row>
    <row r="16" spans="2:23" s="304" customFormat="1" x14ac:dyDescent="0.2">
      <c r="B16" s="829" t="s">
        <v>226</v>
      </c>
      <c r="C16" s="829" t="s">
        <v>477</v>
      </c>
      <c r="D16" s="829" t="s">
        <v>476</v>
      </c>
      <c r="E16" s="829" t="s">
        <v>475</v>
      </c>
      <c r="F16" s="829" t="s">
        <v>225</v>
      </c>
      <c r="G16" s="829" t="s">
        <v>224</v>
      </c>
      <c r="H16" s="829" t="s">
        <v>4</v>
      </c>
      <c r="I16" s="829" t="s">
        <v>5</v>
      </c>
      <c r="J16" s="829" t="s">
        <v>223</v>
      </c>
      <c r="K16" s="829" t="s">
        <v>222</v>
      </c>
      <c r="L16" s="829" t="s">
        <v>221</v>
      </c>
      <c r="M16" s="829" t="s">
        <v>220</v>
      </c>
      <c r="N16" s="829" t="s">
        <v>219</v>
      </c>
      <c r="O16" s="829" t="s">
        <v>218</v>
      </c>
      <c r="P16" s="829" t="s">
        <v>217</v>
      </c>
      <c r="Q16" s="829" t="s">
        <v>216</v>
      </c>
      <c r="R16" s="829" t="s">
        <v>215</v>
      </c>
      <c r="S16" s="829" t="s">
        <v>214</v>
      </c>
      <c r="T16" s="829" t="s">
        <v>21</v>
      </c>
      <c r="U16" s="829" t="s">
        <v>213</v>
      </c>
      <c r="V16" s="829" t="s">
        <v>212</v>
      </c>
      <c r="W16" s="830" t="s">
        <v>211</v>
      </c>
    </row>
    <row r="17" spans="2:23" x14ac:dyDescent="0.2">
      <c r="B17" s="831" t="s">
        <v>383</v>
      </c>
      <c r="C17" s="832" t="s">
        <v>455</v>
      </c>
      <c r="D17" s="832" t="s">
        <v>456</v>
      </c>
      <c r="E17" s="832" t="s">
        <v>696</v>
      </c>
      <c r="F17" s="832" t="s">
        <v>455</v>
      </c>
      <c r="G17" s="832" t="s">
        <v>697</v>
      </c>
      <c r="H17" s="832" t="s">
        <v>595</v>
      </c>
      <c r="I17" s="832" t="s">
        <v>596</v>
      </c>
      <c r="J17" s="832" t="s">
        <v>27</v>
      </c>
      <c r="K17" s="832" t="s">
        <v>698</v>
      </c>
      <c r="L17" s="832" t="s">
        <v>699</v>
      </c>
      <c r="M17" s="832" t="s">
        <v>700</v>
      </c>
      <c r="N17" s="832" t="s">
        <v>701</v>
      </c>
      <c r="O17" s="832" t="s">
        <v>366</v>
      </c>
      <c r="P17" s="832" t="s">
        <v>366</v>
      </c>
      <c r="Q17" s="832" t="s">
        <v>366</v>
      </c>
      <c r="R17" s="832" t="s">
        <v>658</v>
      </c>
      <c r="S17" s="832" t="s">
        <v>691</v>
      </c>
      <c r="T17" s="832" t="s">
        <v>692</v>
      </c>
      <c r="U17" s="833">
        <v>10500</v>
      </c>
      <c r="V17" s="833">
        <v>10500</v>
      </c>
      <c r="W17" s="302"/>
    </row>
    <row r="18" spans="2:23" x14ac:dyDescent="0.2">
      <c r="B18" s="710"/>
      <c r="C18" s="710"/>
      <c r="D18" s="711"/>
      <c r="E18" s="711"/>
      <c r="F18" s="711"/>
      <c r="G18" s="710"/>
      <c r="H18" s="710"/>
      <c r="I18" s="710"/>
      <c r="J18" s="710"/>
      <c r="K18" s="710"/>
      <c r="L18" s="710"/>
      <c r="M18" s="710"/>
      <c r="N18" s="710"/>
      <c r="O18" s="710"/>
      <c r="P18" s="710"/>
      <c r="Q18" s="710"/>
      <c r="R18" s="710"/>
      <c r="S18" s="710"/>
      <c r="T18" s="710"/>
      <c r="U18" s="710"/>
      <c r="V18" s="710"/>
      <c r="W18" s="710"/>
    </row>
    <row r="19" spans="2:23" x14ac:dyDescent="0.2">
      <c r="B19" s="302"/>
      <c r="C19" s="302"/>
      <c r="D19" s="303"/>
      <c r="E19" s="303"/>
      <c r="F19" s="303"/>
      <c r="G19" s="302"/>
      <c r="H19" s="302"/>
      <c r="I19" s="302"/>
      <c r="J19" s="302"/>
      <c r="K19" s="302"/>
      <c r="L19" s="302"/>
      <c r="M19" s="302"/>
      <c r="N19" s="302"/>
      <c r="O19" s="302"/>
      <c r="P19" s="302"/>
      <c r="Q19" s="302"/>
      <c r="R19" s="302"/>
      <c r="S19" s="302"/>
      <c r="T19" s="302"/>
      <c r="U19" s="302"/>
      <c r="V19" s="302"/>
      <c r="W19" s="302"/>
    </row>
    <row r="20" spans="2:23" x14ac:dyDescent="0.2">
      <c r="B20" s="302"/>
      <c r="C20" s="302"/>
      <c r="D20" s="303"/>
      <c r="E20" s="303"/>
      <c r="F20" s="303"/>
      <c r="G20" s="302"/>
      <c r="H20" s="302"/>
      <c r="I20" s="302"/>
      <c r="J20" s="302"/>
      <c r="K20" s="302"/>
      <c r="L20" s="302"/>
      <c r="M20" s="302"/>
      <c r="N20" s="302"/>
      <c r="O20" s="302"/>
      <c r="P20" s="302"/>
      <c r="Q20" s="302"/>
      <c r="R20" s="302"/>
      <c r="S20" s="302"/>
      <c r="T20" s="302"/>
      <c r="U20" s="302"/>
      <c r="V20" s="302"/>
      <c r="W20" s="302"/>
    </row>
    <row r="21" spans="2:23" x14ac:dyDescent="0.2">
      <c r="B21" s="302"/>
      <c r="C21" s="302"/>
      <c r="D21" s="303"/>
      <c r="E21" s="303"/>
      <c r="F21" s="303"/>
      <c r="G21" s="302"/>
      <c r="H21" s="302"/>
      <c r="I21" s="302"/>
      <c r="J21" s="302"/>
      <c r="K21" s="302"/>
      <c r="L21" s="302"/>
      <c r="M21" s="302"/>
      <c r="N21" s="302"/>
      <c r="O21" s="302"/>
      <c r="P21" s="302"/>
      <c r="Q21" s="302"/>
      <c r="R21" s="302"/>
      <c r="S21" s="302"/>
      <c r="T21" s="302"/>
      <c r="U21" s="302"/>
      <c r="V21" s="302"/>
      <c r="W21" s="302"/>
    </row>
    <row r="22" spans="2:23" x14ac:dyDescent="0.2">
      <c r="B22" s="302"/>
      <c r="C22" s="302"/>
      <c r="D22" s="303"/>
      <c r="E22" s="303"/>
      <c r="F22" s="303"/>
      <c r="G22" s="302"/>
      <c r="H22" s="302"/>
      <c r="I22" s="302"/>
      <c r="J22" s="302"/>
      <c r="K22" s="302"/>
      <c r="L22" s="302"/>
      <c r="M22" s="302"/>
      <c r="N22" s="302"/>
      <c r="O22" s="302"/>
      <c r="P22" s="302"/>
      <c r="Q22" s="302"/>
      <c r="R22" s="302"/>
      <c r="S22" s="302"/>
      <c r="T22" s="302"/>
      <c r="U22" s="302"/>
      <c r="V22" s="302"/>
      <c r="W22" s="302"/>
    </row>
    <row r="23" spans="2:23" x14ac:dyDescent="0.2">
      <c r="B23" s="302"/>
      <c r="C23" s="302"/>
      <c r="D23" s="303"/>
      <c r="E23" s="303"/>
      <c r="F23" s="303"/>
      <c r="G23" s="302"/>
      <c r="H23" s="302"/>
      <c r="I23" s="302"/>
      <c r="J23" s="302"/>
      <c r="K23" s="302"/>
      <c r="L23" s="302"/>
      <c r="M23" s="302"/>
      <c r="N23" s="302"/>
      <c r="O23" s="302"/>
      <c r="P23" s="302"/>
      <c r="Q23" s="302"/>
      <c r="R23" s="302"/>
      <c r="S23" s="302"/>
      <c r="T23" s="302"/>
      <c r="U23" s="302"/>
      <c r="V23" s="302"/>
      <c r="W23" s="302"/>
    </row>
    <row r="24" spans="2:23" x14ac:dyDescent="0.2">
      <c r="B24" s="302"/>
      <c r="C24" s="302"/>
      <c r="D24" s="303"/>
      <c r="E24" s="303"/>
      <c r="F24" s="303"/>
      <c r="G24" s="302"/>
      <c r="H24" s="302"/>
      <c r="I24" s="302"/>
      <c r="J24" s="302"/>
      <c r="K24" s="302"/>
      <c r="L24" s="302"/>
      <c r="M24" s="302"/>
      <c r="N24" s="302"/>
      <c r="O24" s="302"/>
      <c r="P24" s="302"/>
      <c r="Q24" s="302"/>
      <c r="R24" s="302"/>
      <c r="S24" s="302"/>
      <c r="T24" s="302"/>
      <c r="U24" s="302"/>
      <c r="V24" s="302"/>
      <c r="W24" s="302"/>
    </row>
    <row r="25" spans="2:23" x14ac:dyDescent="0.2">
      <c r="B25" s="302"/>
      <c r="C25" s="302"/>
      <c r="D25" s="303"/>
      <c r="E25" s="303"/>
      <c r="F25" s="303"/>
      <c r="G25" s="302"/>
      <c r="H25" s="302"/>
      <c r="I25" s="302"/>
      <c r="J25" s="302"/>
      <c r="K25" s="302"/>
      <c r="L25" s="302"/>
      <c r="M25" s="302"/>
      <c r="N25" s="302"/>
      <c r="O25" s="302"/>
      <c r="P25" s="302"/>
      <c r="Q25" s="302"/>
      <c r="R25" s="302"/>
      <c r="S25" s="302"/>
      <c r="T25" s="302"/>
      <c r="U25" s="302"/>
      <c r="V25" s="302"/>
      <c r="W25" s="302"/>
    </row>
    <row r="26" spans="2:23" x14ac:dyDescent="0.2">
      <c r="B26" s="302"/>
      <c r="C26" s="302"/>
      <c r="D26" s="303"/>
      <c r="E26" s="303"/>
      <c r="F26" s="303"/>
      <c r="G26" s="302"/>
      <c r="H26" s="302"/>
      <c r="I26" s="302"/>
      <c r="J26" s="302"/>
      <c r="K26" s="302"/>
      <c r="L26" s="302"/>
      <c r="M26" s="302"/>
      <c r="N26" s="302"/>
      <c r="O26" s="302"/>
      <c r="P26" s="302"/>
      <c r="Q26" s="302"/>
      <c r="R26" s="302"/>
      <c r="S26" s="302"/>
      <c r="T26" s="302"/>
      <c r="U26" s="302"/>
      <c r="V26" s="302"/>
      <c r="W26" s="302"/>
    </row>
    <row r="27" spans="2:23" x14ac:dyDescent="0.2">
      <c r="B27" s="302"/>
      <c r="C27" s="302"/>
      <c r="D27" s="303"/>
      <c r="E27" s="303"/>
      <c r="F27" s="303"/>
      <c r="G27" s="302"/>
      <c r="H27" s="302"/>
      <c r="I27" s="302"/>
      <c r="J27" s="302"/>
      <c r="K27" s="302"/>
      <c r="L27" s="302"/>
      <c r="M27" s="302"/>
      <c r="N27" s="302"/>
      <c r="O27" s="302"/>
      <c r="P27" s="302"/>
      <c r="Q27" s="302"/>
      <c r="R27" s="302"/>
      <c r="S27" s="302"/>
      <c r="T27" s="302"/>
      <c r="U27" s="302"/>
      <c r="V27" s="302"/>
      <c r="W27" s="302"/>
    </row>
    <row r="28" spans="2:23" x14ac:dyDescent="0.2">
      <c r="B28" s="302"/>
      <c r="C28" s="302"/>
      <c r="D28" s="303"/>
      <c r="E28" s="303"/>
      <c r="F28" s="303"/>
      <c r="G28" s="302"/>
      <c r="H28" s="302"/>
      <c r="I28" s="302"/>
      <c r="J28" s="302"/>
      <c r="K28" s="302"/>
      <c r="L28" s="302"/>
      <c r="M28" s="302"/>
      <c r="N28" s="302"/>
      <c r="O28" s="302"/>
      <c r="P28" s="302"/>
      <c r="Q28" s="302"/>
      <c r="R28" s="302"/>
      <c r="S28" s="302"/>
      <c r="T28" s="302"/>
      <c r="U28" s="302"/>
      <c r="V28" s="302"/>
      <c r="W28" s="302"/>
    </row>
    <row r="29" spans="2:23" x14ac:dyDescent="0.2">
      <c r="B29" s="302"/>
      <c r="C29" s="302"/>
      <c r="D29" s="303"/>
      <c r="E29" s="303"/>
      <c r="F29" s="303"/>
      <c r="G29" s="302"/>
      <c r="H29" s="302"/>
      <c r="I29" s="302"/>
      <c r="J29" s="302"/>
      <c r="K29" s="302"/>
      <c r="L29" s="302"/>
      <c r="M29" s="302"/>
      <c r="N29" s="302"/>
      <c r="O29" s="302"/>
      <c r="P29" s="302"/>
      <c r="Q29" s="302"/>
      <c r="R29" s="302"/>
      <c r="S29" s="302"/>
      <c r="T29" s="302"/>
      <c r="U29" s="302"/>
      <c r="V29" s="302"/>
      <c r="W29" s="302"/>
    </row>
    <row r="30" spans="2:23" x14ac:dyDescent="0.2">
      <c r="B30" s="302"/>
      <c r="C30" s="302"/>
      <c r="D30" s="303"/>
      <c r="E30" s="303"/>
      <c r="F30" s="303"/>
      <c r="G30" s="302"/>
      <c r="H30" s="302"/>
      <c r="I30" s="302"/>
      <c r="J30" s="302"/>
      <c r="K30" s="302"/>
      <c r="L30" s="302"/>
      <c r="M30" s="302"/>
      <c r="N30" s="302"/>
      <c r="O30" s="302"/>
      <c r="P30" s="302"/>
      <c r="Q30" s="302"/>
      <c r="R30" s="302"/>
      <c r="S30" s="302"/>
      <c r="T30" s="302"/>
      <c r="U30" s="302"/>
      <c r="V30" s="302"/>
      <c r="W30" s="302"/>
    </row>
    <row r="31" spans="2:23" x14ac:dyDescent="0.2">
      <c r="B31" s="302"/>
      <c r="C31" s="302"/>
      <c r="D31" s="303"/>
      <c r="E31" s="303"/>
      <c r="F31" s="303"/>
      <c r="G31" s="302"/>
      <c r="H31" s="302"/>
      <c r="I31" s="302"/>
      <c r="J31" s="302"/>
      <c r="K31" s="302"/>
      <c r="L31" s="302"/>
      <c r="M31" s="302"/>
      <c r="N31" s="302"/>
      <c r="O31" s="302"/>
      <c r="P31" s="302"/>
      <c r="Q31" s="302"/>
      <c r="R31" s="302"/>
      <c r="S31" s="302"/>
      <c r="T31" s="302"/>
      <c r="U31" s="302"/>
      <c r="V31" s="302"/>
      <c r="W31" s="302"/>
    </row>
    <row r="32" spans="2:23" x14ac:dyDescent="0.2">
      <c r="B32" s="302"/>
      <c r="C32" s="302"/>
      <c r="D32" s="303"/>
      <c r="E32" s="303"/>
      <c r="F32" s="303"/>
      <c r="G32" s="302"/>
      <c r="H32" s="302"/>
      <c r="I32" s="302"/>
      <c r="J32" s="302"/>
      <c r="K32" s="302"/>
      <c r="L32" s="302"/>
      <c r="M32" s="302"/>
      <c r="N32" s="302"/>
      <c r="O32" s="302"/>
      <c r="P32" s="302"/>
      <c r="Q32" s="302"/>
      <c r="R32" s="302"/>
      <c r="S32" s="302"/>
      <c r="T32" s="302"/>
      <c r="U32" s="302"/>
      <c r="V32" s="302"/>
      <c r="W32" s="302"/>
    </row>
    <row r="33" spans="2:23" x14ac:dyDescent="0.2">
      <c r="B33" s="302"/>
      <c r="C33" s="302"/>
      <c r="D33" s="303"/>
      <c r="E33" s="303"/>
      <c r="F33" s="303"/>
      <c r="G33" s="302"/>
      <c r="H33" s="302"/>
      <c r="I33" s="302"/>
      <c r="J33" s="302"/>
      <c r="K33" s="302"/>
      <c r="L33" s="302"/>
      <c r="M33" s="302"/>
      <c r="N33" s="302"/>
      <c r="O33" s="302"/>
      <c r="P33" s="302"/>
      <c r="Q33" s="302"/>
      <c r="R33" s="302"/>
      <c r="S33" s="302"/>
      <c r="T33" s="302"/>
      <c r="U33" s="302"/>
      <c r="V33" s="302"/>
      <c r="W33" s="302"/>
    </row>
    <row r="34" spans="2:23" x14ac:dyDescent="0.2">
      <c r="B34" s="302"/>
      <c r="C34" s="302"/>
      <c r="D34" s="303"/>
      <c r="E34" s="303"/>
      <c r="F34" s="303"/>
      <c r="G34" s="302"/>
      <c r="H34" s="302"/>
      <c r="I34" s="302"/>
      <c r="J34" s="302"/>
      <c r="K34" s="302"/>
      <c r="L34" s="302"/>
      <c r="M34" s="302"/>
      <c r="N34" s="302"/>
      <c r="O34" s="302"/>
      <c r="P34" s="302"/>
      <c r="Q34" s="302"/>
      <c r="R34" s="302"/>
      <c r="S34" s="302"/>
      <c r="T34" s="302"/>
      <c r="U34" s="302"/>
      <c r="V34" s="302"/>
      <c r="W34" s="302"/>
    </row>
    <row r="35" spans="2:23" x14ac:dyDescent="0.2">
      <c r="B35" s="302"/>
      <c r="C35" s="302"/>
      <c r="D35" s="303"/>
      <c r="E35" s="303"/>
      <c r="F35" s="303"/>
      <c r="G35" s="302"/>
      <c r="H35" s="302"/>
      <c r="I35" s="302"/>
      <c r="J35" s="302"/>
      <c r="K35" s="302"/>
      <c r="L35" s="302"/>
      <c r="M35" s="302"/>
      <c r="N35" s="302"/>
      <c r="O35" s="302"/>
      <c r="P35" s="302"/>
      <c r="Q35" s="302"/>
      <c r="R35" s="302"/>
      <c r="S35" s="302"/>
      <c r="T35" s="302"/>
      <c r="U35" s="302"/>
      <c r="V35" s="302"/>
      <c r="W35" s="302"/>
    </row>
  </sheetData>
  <mergeCells count="1">
    <mergeCell ref="B15:V15"/>
  </mergeCells>
  <pageMargins left="0.16" right="0.16" top="0.33" bottom="0.36" header="0.17" footer="0.18"/>
  <pageSetup scale="3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R27"/>
  <sheetViews>
    <sheetView view="pageBreakPreview" zoomScale="80" zoomScaleNormal="90" zoomScaleSheetLayoutView="80" workbookViewId="0">
      <selection activeCell="R23" sqref="R23:R26"/>
    </sheetView>
  </sheetViews>
  <sheetFormatPr defaultColWidth="9.140625" defaultRowHeight="14.25" x14ac:dyDescent="0.2"/>
  <cols>
    <col min="1" max="1" width="4.42578125" style="36" customWidth="1"/>
    <col min="2" max="2" width="9.7109375" style="36" customWidth="1"/>
    <col min="3" max="3" width="10.140625" style="36" customWidth="1"/>
    <col min="4" max="4" width="9.5703125" style="36" customWidth="1"/>
    <col min="5" max="5" width="11.28515625" style="36" customWidth="1"/>
    <col min="6" max="6" width="10.85546875" style="36" bestFit="1" customWidth="1"/>
    <col min="7" max="8" width="8.5703125" style="36" customWidth="1"/>
    <col min="9" max="9" width="10.5703125" style="36" customWidth="1"/>
    <col min="10" max="11" width="11.28515625" style="36" customWidth="1"/>
    <col min="12" max="12" width="13.42578125" style="365" customWidth="1"/>
    <col min="13" max="13" width="15.5703125" style="365" customWidth="1"/>
    <col min="14" max="14" width="15.140625" style="366" customWidth="1"/>
    <col min="15" max="15" width="15.28515625" style="366" customWidth="1"/>
    <col min="16" max="16" width="15" style="365" customWidth="1"/>
    <col min="17" max="17" width="38.5703125" style="36" customWidth="1"/>
    <col min="18" max="18" width="27.140625" style="36" bestFit="1" customWidth="1"/>
    <col min="19" max="16384" width="9.140625" style="36"/>
  </cols>
  <sheetData>
    <row r="2" spans="2:18" ht="18" x14ac:dyDescent="0.25">
      <c r="B2" s="301" t="s">
        <v>471</v>
      </c>
      <c r="C2" s="300"/>
      <c r="D2" s="300"/>
      <c r="F2" s="300"/>
      <c r="G2" s="300"/>
      <c r="H2" s="300"/>
      <c r="I2" s="300"/>
      <c r="J2" s="300"/>
      <c r="K2" s="300"/>
    </row>
    <row r="3" spans="2:18" ht="18" x14ac:dyDescent="0.25">
      <c r="B3" s="299" t="s">
        <v>209</v>
      </c>
    </row>
    <row r="5" spans="2:18" ht="18" x14ac:dyDescent="0.25">
      <c r="B5" s="301" t="s">
        <v>472</v>
      </c>
    </row>
    <row r="6" spans="2:18" x14ac:dyDescent="0.2">
      <c r="B6" s="36" t="s">
        <v>287</v>
      </c>
    </row>
    <row r="7" spans="2:18" ht="15.75" customHeight="1" x14ac:dyDescent="0.2">
      <c r="B7" s="36" t="s">
        <v>286</v>
      </c>
    </row>
    <row r="8" spans="2:18" x14ac:dyDescent="0.2">
      <c r="B8" s="383" t="s">
        <v>285</v>
      </c>
      <c r="C8" s="382"/>
      <c r="D8" s="382"/>
      <c r="E8" s="382"/>
      <c r="F8" s="382"/>
      <c r="G8" s="382"/>
      <c r="H8" s="382"/>
      <c r="I8" s="382"/>
      <c r="J8" s="382"/>
      <c r="K8" s="382"/>
      <c r="L8" s="381"/>
      <c r="M8" s="380"/>
      <c r="P8" s="380"/>
    </row>
    <row r="9" spans="2:18" x14ac:dyDescent="0.2">
      <c r="B9" s="366"/>
      <c r="C9" s="366"/>
      <c r="D9" s="366"/>
      <c r="E9" s="366"/>
      <c r="F9" s="366"/>
      <c r="G9" s="366"/>
      <c r="H9" s="366"/>
      <c r="I9" s="366"/>
      <c r="J9" s="366"/>
      <c r="K9" s="366"/>
      <c r="L9" s="366"/>
      <c r="M9" s="380"/>
      <c r="P9" s="380"/>
    </row>
    <row r="10" spans="2:18" ht="15" x14ac:dyDescent="0.25">
      <c r="B10" s="379" t="s">
        <v>284</v>
      </c>
      <c r="C10" s="89"/>
      <c r="D10" s="89"/>
      <c r="E10" s="89"/>
      <c r="F10" s="89"/>
      <c r="G10" s="89"/>
      <c r="H10" s="89"/>
      <c r="I10" s="89"/>
      <c r="J10" s="89"/>
      <c r="K10" s="283"/>
      <c r="L10" s="378" t="s">
        <v>28</v>
      </c>
      <c r="M10" s="89"/>
      <c r="N10" s="378"/>
      <c r="O10" s="89"/>
      <c r="P10" s="377"/>
    </row>
    <row r="11" spans="2:18" s="375" customFormat="1" ht="20.25" customHeight="1" x14ac:dyDescent="0.25">
      <c r="B11" s="980" t="s">
        <v>283</v>
      </c>
      <c r="C11" s="980" t="s">
        <v>282</v>
      </c>
      <c r="D11" s="980" t="s">
        <v>27</v>
      </c>
      <c r="E11" s="980" t="s">
        <v>26</v>
      </c>
      <c r="F11" s="980" t="s">
        <v>25</v>
      </c>
      <c r="G11" s="980" t="s">
        <v>5</v>
      </c>
      <c r="H11" s="980" t="s">
        <v>245</v>
      </c>
      <c r="I11" s="980" t="s">
        <v>101</v>
      </c>
      <c r="J11" s="980" t="s">
        <v>281</v>
      </c>
      <c r="K11" s="980" t="s">
        <v>280</v>
      </c>
      <c r="L11" s="981" t="s">
        <v>279</v>
      </c>
      <c r="M11" s="979" t="s">
        <v>278</v>
      </c>
      <c r="N11" s="979"/>
      <c r="O11" s="979" t="s">
        <v>277</v>
      </c>
      <c r="P11" s="979"/>
      <c r="Q11" s="376" t="s">
        <v>28</v>
      </c>
      <c r="R11" s="376" t="s">
        <v>28</v>
      </c>
    </row>
    <row r="12" spans="2:18" s="371" customFormat="1" ht="41.25" customHeight="1" thickBot="1" x14ac:dyDescent="0.3">
      <c r="B12" s="980"/>
      <c r="C12" s="980"/>
      <c r="D12" s="980"/>
      <c r="E12" s="980"/>
      <c r="F12" s="980"/>
      <c r="G12" s="980"/>
      <c r="H12" s="980"/>
      <c r="I12" s="980"/>
      <c r="J12" s="980"/>
      <c r="K12" s="980"/>
      <c r="L12" s="982"/>
      <c r="M12" s="374" t="s">
        <v>276</v>
      </c>
      <c r="N12" s="373" t="s">
        <v>275</v>
      </c>
      <c r="O12" s="374" t="s">
        <v>276</v>
      </c>
      <c r="P12" s="373" t="s">
        <v>275</v>
      </c>
      <c r="Q12" s="372" t="s">
        <v>274</v>
      </c>
      <c r="R12" s="372" t="s">
        <v>273</v>
      </c>
    </row>
    <row r="13" spans="2:18" ht="33.75" customHeight="1" thickBot="1" x14ac:dyDescent="0.3">
      <c r="B13" s="896" t="s">
        <v>384</v>
      </c>
      <c r="C13" s="897" t="s">
        <v>772</v>
      </c>
      <c r="D13" s="897" t="s">
        <v>27</v>
      </c>
      <c r="E13" s="897" t="s">
        <v>698</v>
      </c>
      <c r="F13" s="897" t="s">
        <v>595</v>
      </c>
      <c r="G13" s="897" t="s">
        <v>596</v>
      </c>
      <c r="H13" s="897" t="s">
        <v>700</v>
      </c>
      <c r="I13" s="897" t="s">
        <v>773</v>
      </c>
      <c r="J13" s="897" t="s">
        <v>774</v>
      </c>
      <c r="K13" s="896" t="s">
        <v>144</v>
      </c>
      <c r="L13" s="898"/>
      <c r="M13" s="899">
        <v>113576</v>
      </c>
      <c r="N13" s="899">
        <v>1</v>
      </c>
      <c r="O13" s="899">
        <v>117729</v>
      </c>
      <c r="P13" s="899">
        <v>1</v>
      </c>
      <c r="Q13" s="971" t="s">
        <v>822</v>
      </c>
      <c r="R13" s="974" t="s">
        <v>715</v>
      </c>
    </row>
    <row r="14" spans="2:18" ht="33.75" customHeight="1" thickBot="1" x14ac:dyDescent="0.3">
      <c r="B14" s="896" t="s">
        <v>384</v>
      </c>
      <c r="C14" s="897" t="s">
        <v>772</v>
      </c>
      <c r="D14" s="897" t="s">
        <v>27</v>
      </c>
      <c r="E14" s="897" t="s">
        <v>698</v>
      </c>
      <c r="F14" s="897" t="s">
        <v>595</v>
      </c>
      <c r="G14" s="897" t="s">
        <v>596</v>
      </c>
      <c r="H14" s="897" t="s">
        <v>700</v>
      </c>
      <c r="I14" s="897" t="s">
        <v>775</v>
      </c>
      <c r="J14" s="897" t="s">
        <v>776</v>
      </c>
      <c r="K14" s="896" t="s">
        <v>144</v>
      </c>
      <c r="L14" s="898" t="s">
        <v>40</v>
      </c>
      <c r="M14" s="899">
        <v>-106479</v>
      </c>
      <c r="N14" s="899">
        <v>-1</v>
      </c>
      <c r="O14" s="899">
        <v>-110389</v>
      </c>
      <c r="P14" s="899">
        <v>-1</v>
      </c>
      <c r="Q14" s="977"/>
      <c r="R14" s="975"/>
    </row>
    <row r="15" spans="2:18" ht="78.75" customHeight="1" thickBot="1" x14ac:dyDescent="0.3">
      <c r="B15" s="896" t="s">
        <v>384</v>
      </c>
      <c r="C15" s="897" t="s">
        <v>772</v>
      </c>
      <c r="D15" s="897" t="s">
        <v>27</v>
      </c>
      <c r="E15" s="897" t="s">
        <v>698</v>
      </c>
      <c r="F15" s="897" t="s">
        <v>595</v>
      </c>
      <c r="G15" s="897" t="s">
        <v>596</v>
      </c>
      <c r="H15" s="897" t="s">
        <v>700</v>
      </c>
      <c r="I15" s="897" t="s">
        <v>777</v>
      </c>
      <c r="J15" s="897" t="s">
        <v>778</v>
      </c>
      <c r="K15" s="896" t="s">
        <v>144</v>
      </c>
      <c r="L15" s="898"/>
      <c r="M15" s="899">
        <v>7</v>
      </c>
      <c r="N15" s="899">
        <v>0</v>
      </c>
      <c r="O15" s="899">
        <v>0</v>
      </c>
      <c r="P15" s="899">
        <v>0</v>
      </c>
      <c r="Q15" s="978"/>
      <c r="R15" s="976"/>
    </row>
    <row r="16" spans="2:18" ht="28.5" customHeight="1" thickBot="1" x14ac:dyDescent="0.3">
      <c r="B16" s="896" t="s">
        <v>384</v>
      </c>
      <c r="C16" s="897" t="s">
        <v>779</v>
      </c>
      <c r="D16" s="897" t="s">
        <v>27</v>
      </c>
      <c r="E16" s="897" t="s">
        <v>698</v>
      </c>
      <c r="F16" s="897" t="s">
        <v>595</v>
      </c>
      <c r="G16" s="897" t="s">
        <v>596</v>
      </c>
      <c r="H16" s="897" t="s">
        <v>700</v>
      </c>
      <c r="I16" s="897" t="s">
        <v>773</v>
      </c>
      <c r="J16" s="897" t="s">
        <v>774</v>
      </c>
      <c r="K16" s="896" t="s">
        <v>144</v>
      </c>
      <c r="L16" s="898"/>
      <c r="M16" s="899">
        <v>113576</v>
      </c>
      <c r="N16" s="899">
        <v>1</v>
      </c>
      <c r="O16" s="899">
        <v>117729</v>
      </c>
      <c r="P16" s="899">
        <v>1</v>
      </c>
      <c r="Q16" s="971" t="s">
        <v>823</v>
      </c>
      <c r="R16" s="974" t="s">
        <v>715</v>
      </c>
    </row>
    <row r="17" spans="2:18" ht="28.5" customHeight="1" thickBot="1" x14ac:dyDescent="0.3">
      <c r="B17" s="896" t="s">
        <v>384</v>
      </c>
      <c r="C17" s="897" t="s">
        <v>779</v>
      </c>
      <c r="D17" s="897" t="s">
        <v>27</v>
      </c>
      <c r="E17" s="897" t="s">
        <v>698</v>
      </c>
      <c r="F17" s="897" t="s">
        <v>595</v>
      </c>
      <c r="G17" s="897" t="s">
        <v>596</v>
      </c>
      <c r="H17" s="897" t="s">
        <v>700</v>
      </c>
      <c r="I17" s="897" t="s">
        <v>780</v>
      </c>
      <c r="J17" s="897" t="s">
        <v>781</v>
      </c>
      <c r="K17" s="896" t="s">
        <v>144</v>
      </c>
      <c r="L17" s="898" t="s">
        <v>40</v>
      </c>
      <c r="M17" s="899">
        <v>-102503</v>
      </c>
      <c r="N17" s="899">
        <v>-1</v>
      </c>
      <c r="O17" s="899">
        <v>-106272</v>
      </c>
      <c r="P17" s="899">
        <v>-1</v>
      </c>
      <c r="Q17" s="972"/>
      <c r="R17" s="975"/>
    </row>
    <row r="18" spans="2:18" ht="28.5" customHeight="1" thickBot="1" x14ac:dyDescent="0.3">
      <c r="B18" s="896" t="s">
        <v>384</v>
      </c>
      <c r="C18" s="897" t="s">
        <v>779</v>
      </c>
      <c r="D18" s="897" t="s">
        <v>27</v>
      </c>
      <c r="E18" s="897" t="s">
        <v>698</v>
      </c>
      <c r="F18" s="897" t="s">
        <v>595</v>
      </c>
      <c r="G18" s="897" t="s">
        <v>596</v>
      </c>
      <c r="H18" s="897" t="s">
        <v>700</v>
      </c>
      <c r="I18" s="897" t="s">
        <v>777</v>
      </c>
      <c r="J18" s="897" t="s">
        <v>778</v>
      </c>
      <c r="K18" s="896" t="s">
        <v>144</v>
      </c>
      <c r="L18" s="898"/>
      <c r="M18" s="899">
        <v>9</v>
      </c>
      <c r="N18" s="899">
        <v>0</v>
      </c>
      <c r="O18" s="899" t="s">
        <v>366</v>
      </c>
      <c r="P18" s="899">
        <v>0</v>
      </c>
      <c r="Q18" s="972"/>
      <c r="R18" s="975"/>
    </row>
    <row r="19" spans="2:18" ht="75.75" customHeight="1" thickBot="1" x14ac:dyDescent="0.3">
      <c r="B19" s="896" t="s">
        <v>384</v>
      </c>
      <c r="C19" s="898"/>
      <c r="D19" s="897" t="s">
        <v>27</v>
      </c>
      <c r="E19" s="897" t="s">
        <v>698</v>
      </c>
      <c r="F19" s="897" t="s">
        <v>595</v>
      </c>
      <c r="G19" s="897" t="s">
        <v>596</v>
      </c>
      <c r="H19" s="897" t="s">
        <v>700</v>
      </c>
      <c r="I19" s="897" t="s">
        <v>777</v>
      </c>
      <c r="J19" s="897" t="s">
        <v>778</v>
      </c>
      <c r="K19" s="896" t="s">
        <v>144</v>
      </c>
      <c r="L19" s="898"/>
      <c r="M19" s="899">
        <v>58</v>
      </c>
      <c r="N19" s="898"/>
      <c r="O19" s="899">
        <v>0</v>
      </c>
      <c r="P19" s="898"/>
      <c r="Q19" s="973"/>
      <c r="R19" s="976"/>
    </row>
    <row r="20" spans="2:18" ht="25.5" customHeight="1" thickBot="1" x14ac:dyDescent="0.3">
      <c r="B20" s="896" t="s">
        <v>782</v>
      </c>
      <c r="C20" s="897" t="s">
        <v>783</v>
      </c>
      <c r="D20" s="897" t="s">
        <v>27</v>
      </c>
      <c r="E20" s="897" t="s">
        <v>698</v>
      </c>
      <c r="F20" s="897" t="s">
        <v>595</v>
      </c>
      <c r="G20" s="897" t="s">
        <v>596</v>
      </c>
      <c r="H20" s="897" t="s">
        <v>700</v>
      </c>
      <c r="I20" s="897" t="s">
        <v>784</v>
      </c>
      <c r="J20" s="897" t="s">
        <v>785</v>
      </c>
      <c r="K20" s="896" t="s">
        <v>782</v>
      </c>
      <c r="L20" s="898" t="s">
        <v>40</v>
      </c>
      <c r="M20" s="899">
        <v>-106948</v>
      </c>
      <c r="N20" s="899">
        <v>-1</v>
      </c>
      <c r="O20" s="899">
        <v>-110869</v>
      </c>
      <c r="P20" s="899">
        <v>-1</v>
      </c>
      <c r="Q20" s="971" t="s">
        <v>824</v>
      </c>
      <c r="R20" s="974" t="s">
        <v>715</v>
      </c>
    </row>
    <row r="21" spans="2:18" ht="29.25" customHeight="1" thickBot="1" x14ac:dyDescent="0.3">
      <c r="B21" s="896" t="s">
        <v>782</v>
      </c>
      <c r="C21" s="897" t="s">
        <v>783</v>
      </c>
      <c r="D21" s="897" t="s">
        <v>27</v>
      </c>
      <c r="E21" s="897" t="s">
        <v>698</v>
      </c>
      <c r="F21" s="897" t="s">
        <v>595</v>
      </c>
      <c r="G21" s="897" t="s">
        <v>596</v>
      </c>
      <c r="H21" s="897" t="s">
        <v>700</v>
      </c>
      <c r="I21" s="897" t="s">
        <v>786</v>
      </c>
      <c r="J21" s="897" t="s">
        <v>787</v>
      </c>
      <c r="K21" s="896" t="s">
        <v>782</v>
      </c>
      <c r="L21" s="898"/>
      <c r="M21" s="899">
        <v>116003</v>
      </c>
      <c r="N21" s="899">
        <v>1</v>
      </c>
      <c r="O21" s="899">
        <v>120241</v>
      </c>
      <c r="P21" s="899">
        <v>1</v>
      </c>
      <c r="Q21" s="977"/>
      <c r="R21" s="975"/>
    </row>
    <row r="22" spans="2:18" ht="26.25" customHeight="1" thickBot="1" x14ac:dyDescent="0.3">
      <c r="B22" s="896" t="s">
        <v>782</v>
      </c>
      <c r="C22" s="897" t="s">
        <v>783</v>
      </c>
      <c r="D22" s="897" t="s">
        <v>27</v>
      </c>
      <c r="E22" s="897" t="s">
        <v>698</v>
      </c>
      <c r="F22" s="897" t="s">
        <v>595</v>
      </c>
      <c r="G22" s="897" t="s">
        <v>596</v>
      </c>
      <c r="H22" s="897" t="s">
        <v>700</v>
      </c>
      <c r="I22" s="897" t="s">
        <v>777</v>
      </c>
      <c r="J22" s="897" t="s">
        <v>778</v>
      </c>
      <c r="K22" s="896" t="s">
        <v>144</v>
      </c>
      <c r="L22" s="898"/>
      <c r="M22" s="899">
        <v>7</v>
      </c>
      <c r="N22" s="899">
        <v>0</v>
      </c>
      <c r="O22" s="899">
        <v>0</v>
      </c>
      <c r="P22" s="899">
        <v>0</v>
      </c>
      <c r="Q22" s="978"/>
      <c r="R22" s="976"/>
    </row>
    <row r="23" spans="2:18" ht="24" customHeight="1" thickBot="1" x14ac:dyDescent="0.3">
      <c r="B23" s="896" t="s">
        <v>782</v>
      </c>
      <c r="C23" s="897" t="s">
        <v>788</v>
      </c>
      <c r="D23" s="897" t="s">
        <v>27</v>
      </c>
      <c r="E23" s="897" t="s">
        <v>698</v>
      </c>
      <c r="F23" s="897" t="s">
        <v>595</v>
      </c>
      <c r="G23" s="897" t="s">
        <v>596</v>
      </c>
      <c r="H23" s="897" t="s">
        <v>700</v>
      </c>
      <c r="I23" s="897" t="s">
        <v>789</v>
      </c>
      <c r="J23" s="897" t="s">
        <v>790</v>
      </c>
      <c r="K23" s="896" t="s">
        <v>782</v>
      </c>
      <c r="L23" s="898" t="s">
        <v>40</v>
      </c>
      <c r="M23" s="899">
        <v>-128170</v>
      </c>
      <c r="N23" s="899">
        <v>-1</v>
      </c>
      <c r="O23" s="899">
        <v>-132828</v>
      </c>
      <c r="P23" s="899">
        <v>-1</v>
      </c>
      <c r="Q23" s="971" t="s">
        <v>825</v>
      </c>
      <c r="R23" s="974" t="s">
        <v>715</v>
      </c>
    </row>
    <row r="24" spans="2:18" ht="17.25" customHeight="1" thickBot="1" x14ac:dyDescent="0.3">
      <c r="B24" s="896" t="s">
        <v>782</v>
      </c>
      <c r="C24" s="897" t="s">
        <v>788</v>
      </c>
      <c r="D24" s="897" t="s">
        <v>27</v>
      </c>
      <c r="E24" s="897" t="s">
        <v>698</v>
      </c>
      <c r="F24" s="897" t="s">
        <v>595</v>
      </c>
      <c r="G24" s="897" t="s">
        <v>596</v>
      </c>
      <c r="H24" s="897" t="s">
        <v>700</v>
      </c>
      <c r="I24" s="897" t="s">
        <v>791</v>
      </c>
      <c r="J24" s="897" t="s">
        <v>792</v>
      </c>
      <c r="K24" s="896" t="s">
        <v>782</v>
      </c>
      <c r="L24" s="898"/>
      <c r="M24" s="899">
        <v>138084</v>
      </c>
      <c r="N24" s="899">
        <v>1</v>
      </c>
      <c r="O24" s="899">
        <v>143085</v>
      </c>
      <c r="P24" s="899">
        <v>1</v>
      </c>
      <c r="Q24" s="972"/>
      <c r="R24" s="975"/>
    </row>
    <row r="25" spans="2:18" ht="24" customHeight="1" thickBot="1" x14ac:dyDescent="0.3">
      <c r="B25" s="896" t="s">
        <v>782</v>
      </c>
      <c r="C25" s="897" t="s">
        <v>788</v>
      </c>
      <c r="D25" s="897" t="s">
        <v>27</v>
      </c>
      <c r="E25" s="897" t="s">
        <v>698</v>
      </c>
      <c r="F25" s="897" t="s">
        <v>595</v>
      </c>
      <c r="G25" s="897" t="s">
        <v>596</v>
      </c>
      <c r="H25" s="897" t="s">
        <v>700</v>
      </c>
      <c r="I25" s="897" t="s">
        <v>777</v>
      </c>
      <c r="J25" s="897" t="s">
        <v>778</v>
      </c>
      <c r="K25" s="896" t="s">
        <v>144</v>
      </c>
      <c r="L25" s="898"/>
      <c r="M25" s="899">
        <v>7</v>
      </c>
      <c r="N25" s="899">
        <v>0</v>
      </c>
      <c r="O25" s="899">
        <v>0</v>
      </c>
      <c r="P25" s="899">
        <v>0</v>
      </c>
      <c r="Q25" s="972"/>
      <c r="R25" s="975"/>
    </row>
    <row r="26" spans="2:18" ht="24" customHeight="1" thickBot="1" x14ac:dyDescent="0.3">
      <c r="B26" s="896" t="s">
        <v>782</v>
      </c>
      <c r="C26" s="898"/>
      <c r="D26" s="897" t="s">
        <v>27</v>
      </c>
      <c r="E26" s="897" t="s">
        <v>698</v>
      </c>
      <c r="F26" s="897" t="s">
        <v>595</v>
      </c>
      <c r="G26" s="897" t="s">
        <v>596</v>
      </c>
      <c r="H26" s="897" t="s">
        <v>700</v>
      </c>
      <c r="I26" s="897" t="s">
        <v>777</v>
      </c>
      <c r="J26" s="897" t="s">
        <v>778</v>
      </c>
      <c r="K26" s="896" t="s">
        <v>144</v>
      </c>
      <c r="L26" s="898"/>
      <c r="M26" s="899">
        <v>58</v>
      </c>
      <c r="N26" s="898"/>
      <c r="O26" s="899">
        <v>0</v>
      </c>
      <c r="P26" s="898"/>
      <c r="Q26" s="973"/>
      <c r="R26" s="976"/>
    </row>
    <row r="27" spans="2:18" s="300" customFormat="1" ht="19.5" customHeight="1" x14ac:dyDescent="0.25">
      <c r="B27" s="370" t="s">
        <v>272</v>
      </c>
      <c r="C27" s="367"/>
      <c r="D27" s="370"/>
      <c r="E27" s="370"/>
      <c r="F27" s="370"/>
      <c r="G27" s="370"/>
      <c r="H27" s="370"/>
      <c r="I27" s="370"/>
      <c r="J27" s="370"/>
      <c r="K27" s="370"/>
      <c r="L27" s="370"/>
      <c r="M27" s="369">
        <f>SUM(M13:M26)</f>
        <v>37285</v>
      </c>
      <c r="N27" s="368">
        <f>SUM(N13:N26)</f>
        <v>0</v>
      </c>
      <c r="O27" s="369">
        <f>SUM(O13:O26)</f>
        <v>38426</v>
      </c>
      <c r="P27" s="368">
        <f>SUM(P13:P26)</f>
        <v>0</v>
      </c>
      <c r="Q27" s="367"/>
      <c r="R27" s="367"/>
    </row>
  </sheetData>
  <mergeCells count="21">
    <mergeCell ref="G11:G12"/>
    <mergeCell ref="B11:B12"/>
    <mergeCell ref="C11:C12"/>
    <mergeCell ref="D11:D12"/>
    <mergeCell ref="E11:E12"/>
    <mergeCell ref="F11:F12"/>
    <mergeCell ref="O11:P11"/>
    <mergeCell ref="H11:H12"/>
    <mergeCell ref="I11:I12"/>
    <mergeCell ref="J11:J12"/>
    <mergeCell ref="K11:K12"/>
    <mergeCell ref="L11:L12"/>
    <mergeCell ref="M11:N11"/>
    <mergeCell ref="Q23:Q26"/>
    <mergeCell ref="R16:R19"/>
    <mergeCell ref="R20:R22"/>
    <mergeCell ref="R23:R26"/>
    <mergeCell ref="Q13:Q15"/>
    <mergeCell ref="R13:R15"/>
    <mergeCell ref="Q16:Q19"/>
    <mergeCell ref="Q20:Q22"/>
  </mergeCells>
  <pageMargins left="0.16" right="0.16" top="0.39" bottom="0.6" header="0.28000000000000003" footer="0.37"/>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R62"/>
  <sheetViews>
    <sheetView showGridLines="0" zoomScale="85" zoomScaleNormal="85" zoomScaleSheetLayoutView="85" workbookViewId="0">
      <selection activeCell="J10" sqref="J10"/>
    </sheetView>
  </sheetViews>
  <sheetFormatPr defaultColWidth="9.140625" defaultRowHeight="12.75" x14ac:dyDescent="0.2"/>
  <cols>
    <col min="1" max="1" width="4.5703125" style="44" customWidth="1"/>
    <col min="2" max="2" width="8.28515625" style="44" customWidth="1"/>
    <col min="3" max="3" width="11.85546875" style="44" customWidth="1"/>
    <col min="4" max="4" width="16.85546875" style="44" customWidth="1"/>
    <col min="5" max="5" width="29.140625" style="44" customWidth="1"/>
    <col min="6" max="6" width="12.28515625" style="44" customWidth="1"/>
    <col min="7" max="7" width="19.42578125" style="44" bestFit="1" customWidth="1"/>
    <col min="8" max="9" width="19.42578125" style="44" customWidth="1"/>
    <col min="10" max="10" width="18" style="44" customWidth="1"/>
    <col min="11" max="11" width="22" style="44" customWidth="1"/>
    <col min="12" max="13" width="10.85546875" style="44" customWidth="1"/>
    <col min="14" max="14" width="14.42578125" style="44" customWidth="1"/>
    <col min="15" max="15" width="14.7109375" style="44" customWidth="1"/>
    <col min="16" max="16" width="17.42578125" style="44" customWidth="1"/>
    <col min="17" max="17" width="27.140625" style="44" customWidth="1"/>
    <col min="18" max="18" width="40.85546875" style="44" customWidth="1"/>
    <col min="19" max="19" width="9.140625" style="44" customWidth="1"/>
    <col min="20" max="16384" width="9.140625" style="44"/>
  </cols>
  <sheetData>
    <row r="1" spans="2:17" ht="17.25" customHeight="1" x14ac:dyDescent="0.2"/>
    <row r="2" spans="2:17" ht="18" x14ac:dyDescent="0.2">
      <c r="B2" s="1" t="s">
        <v>261</v>
      </c>
      <c r="C2" s="357"/>
    </row>
    <row r="3" spans="2:17" ht="15" x14ac:dyDescent="0.2">
      <c r="B3" s="356" t="s">
        <v>209</v>
      </c>
      <c r="C3" s="355"/>
    </row>
    <row r="4" spans="2:17" ht="15" x14ac:dyDescent="0.2">
      <c r="B4" s="356"/>
      <c r="C4" s="355"/>
    </row>
    <row r="5" spans="2:17" ht="14.25" x14ac:dyDescent="0.2">
      <c r="B5" s="98" t="s">
        <v>473</v>
      </c>
      <c r="C5" s="98"/>
      <c r="D5" s="98"/>
      <c r="E5" s="98"/>
      <c r="F5" s="98"/>
      <c r="G5" s="98"/>
      <c r="H5" s="98"/>
      <c r="I5" s="98"/>
      <c r="J5" s="98"/>
      <c r="K5" s="98"/>
      <c r="L5" s="98"/>
      <c r="M5" s="98"/>
      <c r="N5" s="98"/>
      <c r="O5" s="353"/>
      <c r="P5" s="353"/>
      <c r="Q5" s="352"/>
    </row>
    <row r="6" spans="2:17" ht="14.25" x14ac:dyDescent="0.2">
      <c r="B6" s="7"/>
      <c r="C6" s="7"/>
      <c r="D6" s="3"/>
      <c r="E6" s="3"/>
      <c r="F6" s="3"/>
      <c r="G6" s="3"/>
      <c r="H6" s="3"/>
      <c r="I6" s="3"/>
      <c r="J6" s="3"/>
      <c r="K6" s="3"/>
      <c r="L6" s="3"/>
      <c r="M6" s="3"/>
      <c r="N6" s="3"/>
      <c r="O6" s="354"/>
      <c r="P6" s="354"/>
      <c r="Q6" s="352"/>
    </row>
    <row r="7" spans="2:17" ht="14.25" x14ac:dyDescent="0.2">
      <c r="B7" s="696" t="s">
        <v>470</v>
      </c>
      <c r="C7" s="98"/>
      <c r="D7" s="98"/>
      <c r="E7" s="98"/>
      <c r="F7" s="338"/>
      <c r="K7" s="98"/>
      <c r="L7" s="98"/>
      <c r="M7" s="98"/>
      <c r="N7" s="98"/>
      <c r="O7" s="353"/>
      <c r="P7" s="353"/>
      <c r="Q7" s="352" t="s">
        <v>260</v>
      </c>
    </row>
    <row r="8" spans="2:17" ht="14.25" x14ac:dyDescent="0.2">
      <c r="B8" s="696"/>
      <c r="C8" s="98"/>
      <c r="D8" s="98"/>
      <c r="E8" s="98"/>
      <c r="F8" s="338"/>
      <c r="K8" s="98"/>
      <c r="L8" s="98"/>
      <c r="M8" s="98"/>
      <c r="N8" s="98"/>
      <c r="O8" s="353"/>
      <c r="P8" s="353"/>
      <c r="Q8" s="352"/>
    </row>
    <row r="9" spans="2:17" ht="14.25" x14ac:dyDescent="0.2">
      <c r="B9" s="98"/>
      <c r="C9" s="98"/>
      <c r="D9" s="98"/>
      <c r="E9" s="98"/>
      <c r="F9" s="98"/>
      <c r="G9" s="98"/>
      <c r="H9" s="98"/>
      <c r="I9" s="98"/>
      <c r="J9" s="98"/>
      <c r="K9" s="98"/>
      <c r="L9" s="98"/>
      <c r="M9" s="98"/>
      <c r="N9" s="98"/>
      <c r="O9" s="353"/>
      <c r="P9" s="353"/>
      <c r="Q9" s="352"/>
    </row>
    <row r="10" spans="2:17" ht="18" x14ac:dyDescent="0.2">
      <c r="B10" s="351" t="s">
        <v>464</v>
      </c>
      <c r="C10" s="350"/>
      <c r="D10" s="98"/>
      <c r="E10" s="98"/>
      <c r="F10" s="98"/>
      <c r="G10" s="98"/>
      <c r="H10" s="98"/>
      <c r="I10" s="98"/>
      <c r="J10" s="98"/>
      <c r="K10" s="98"/>
      <c r="L10" s="98"/>
      <c r="M10" s="98"/>
      <c r="N10" s="98"/>
      <c r="O10" s="353"/>
      <c r="P10" s="353"/>
      <c r="Q10" s="352"/>
    </row>
    <row r="11" spans="2:17" ht="14.25" x14ac:dyDescent="0.2">
      <c r="B11" s="98"/>
      <c r="C11" s="98"/>
      <c r="D11" s="98"/>
      <c r="E11" s="98"/>
      <c r="F11" s="98"/>
      <c r="G11" s="98"/>
      <c r="H11" s="98"/>
      <c r="I11" s="98"/>
      <c r="J11" s="98"/>
      <c r="K11" s="98"/>
      <c r="L11" s="98"/>
      <c r="M11" s="98"/>
      <c r="N11" s="98"/>
      <c r="O11" s="353" t="s">
        <v>39</v>
      </c>
      <c r="P11" s="353" t="s">
        <v>259</v>
      </c>
      <c r="Q11" s="352"/>
    </row>
    <row r="12" spans="2:17" ht="18" x14ac:dyDescent="0.2">
      <c r="B12" s="1" t="s">
        <v>468</v>
      </c>
      <c r="C12" s="98"/>
      <c r="D12" s="98"/>
      <c r="E12" s="98"/>
      <c r="F12" s="98"/>
      <c r="G12" s="98"/>
      <c r="H12" s="98"/>
      <c r="I12" s="98"/>
      <c r="J12" s="98"/>
      <c r="K12" s="98"/>
      <c r="L12" s="98"/>
      <c r="M12" s="98"/>
      <c r="N12" s="98"/>
      <c r="O12" s="353"/>
      <c r="P12" s="353"/>
      <c r="Q12" s="352"/>
    </row>
    <row r="13" spans="2:17" ht="14.25" x14ac:dyDescent="0.2">
      <c r="B13" s="98" t="s">
        <v>269</v>
      </c>
      <c r="C13" s="98"/>
      <c r="D13" s="98"/>
      <c r="E13" s="98"/>
      <c r="F13" s="338"/>
      <c r="I13" s="98"/>
      <c r="J13" s="98"/>
      <c r="K13" s="98"/>
      <c r="L13" s="98"/>
      <c r="M13" s="98"/>
      <c r="N13" s="98"/>
      <c r="O13" s="353"/>
      <c r="P13" s="353"/>
      <c r="Q13" s="352"/>
    </row>
    <row r="14" spans="2:17" ht="14.25" x14ac:dyDescent="0.2">
      <c r="B14" s="98" t="s">
        <v>469</v>
      </c>
      <c r="C14" s="98"/>
      <c r="D14" s="98"/>
      <c r="E14" s="98"/>
      <c r="F14" s="338"/>
      <c r="I14" s="98"/>
      <c r="J14" s="98"/>
      <c r="K14" s="98"/>
      <c r="L14" s="98"/>
      <c r="M14" s="98"/>
      <c r="N14" s="98"/>
      <c r="O14" s="353"/>
      <c r="P14" s="353"/>
      <c r="Q14" s="352"/>
    </row>
    <row r="15" spans="2:17" ht="14.25" x14ac:dyDescent="0.2">
      <c r="B15" s="98" t="s">
        <v>268</v>
      </c>
      <c r="C15" s="98"/>
      <c r="D15" s="98"/>
      <c r="E15" s="98"/>
      <c r="F15" s="98"/>
      <c r="G15" s="98"/>
      <c r="H15" s="98"/>
      <c r="I15" s="98"/>
      <c r="J15" s="98"/>
      <c r="K15" s="98"/>
      <c r="L15" s="98"/>
      <c r="M15" s="98"/>
      <c r="N15" s="98"/>
      <c r="O15" s="353"/>
      <c r="P15" s="353"/>
      <c r="Q15" s="352"/>
    </row>
    <row r="16" spans="2:17" ht="14.25" x14ac:dyDescent="0.2">
      <c r="B16" s="98" t="s">
        <v>267</v>
      </c>
      <c r="C16" s="98"/>
      <c r="D16" s="98"/>
      <c r="E16" s="98"/>
      <c r="F16" s="98"/>
      <c r="G16" s="98"/>
      <c r="H16" s="98"/>
      <c r="I16" s="98"/>
      <c r="J16" s="98"/>
      <c r="K16" s="98"/>
      <c r="L16" s="98"/>
      <c r="M16" s="98"/>
      <c r="N16" s="98"/>
      <c r="O16" s="353"/>
      <c r="P16" s="353"/>
      <c r="Q16" s="352"/>
    </row>
    <row r="17" spans="2:17" ht="14.25" x14ac:dyDescent="0.2">
      <c r="B17" s="98"/>
      <c r="C17" s="98"/>
      <c r="D17" s="98"/>
      <c r="E17" s="98"/>
      <c r="F17" s="98"/>
      <c r="G17" s="98"/>
      <c r="H17" s="98"/>
      <c r="I17" s="98"/>
      <c r="J17" s="98"/>
      <c r="K17" s="98"/>
      <c r="L17" s="98"/>
      <c r="M17" s="98"/>
      <c r="N17" s="98"/>
      <c r="O17" s="353"/>
      <c r="P17" s="353"/>
      <c r="Q17" s="352"/>
    </row>
    <row r="18" spans="2:17" ht="14.25" x14ac:dyDescent="0.2">
      <c r="B18" s="337"/>
      <c r="C18" s="89"/>
      <c r="D18" s="98"/>
      <c r="E18" s="98"/>
      <c r="F18" s="98"/>
      <c r="G18" s="98"/>
      <c r="H18" s="364" t="s">
        <v>249</v>
      </c>
      <c r="I18" s="363"/>
      <c r="J18" s="362"/>
      <c r="K18" s="361"/>
      <c r="L18" s="98"/>
      <c r="M18" s="98"/>
      <c r="N18" s="98"/>
      <c r="O18" s="353"/>
      <c r="P18" s="353"/>
      <c r="Q18" s="352"/>
    </row>
    <row r="19" spans="2:17" ht="14.25" x14ac:dyDescent="0.2">
      <c r="B19" s="360" t="s">
        <v>266</v>
      </c>
      <c r="C19" s="360" t="s">
        <v>53</v>
      </c>
      <c r="D19" s="360" t="s">
        <v>265</v>
      </c>
      <c r="E19" s="360" t="s">
        <v>264</v>
      </c>
      <c r="F19" s="360" t="s">
        <v>263</v>
      </c>
      <c r="G19" s="360" t="s">
        <v>262</v>
      </c>
      <c r="H19" s="359" t="s">
        <v>242</v>
      </c>
      <c r="I19" s="359" t="s">
        <v>241</v>
      </c>
      <c r="J19" s="359" t="s">
        <v>240</v>
      </c>
      <c r="K19" s="359" t="s">
        <v>239</v>
      </c>
      <c r="L19" s="98"/>
      <c r="M19" s="98"/>
      <c r="N19" s="98"/>
      <c r="O19" s="353"/>
      <c r="P19" s="353"/>
      <c r="Q19" s="352"/>
    </row>
    <row r="20" spans="2:17" ht="14.25" x14ac:dyDescent="0.2">
      <c r="B20" s="358"/>
      <c r="C20" s="358"/>
      <c r="D20" s="358"/>
      <c r="E20" s="358"/>
      <c r="F20" s="358"/>
      <c r="G20" s="358"/>
      <c r="H20" s="358"/>
      <c r="I20" s="358"/>
      <c r="J20" s="358"/>
      <c r="K20" s="358"/>
      <c r="L20" s="98"/>
      <c r="M20" s="98"/>
      <c r="N20" s="98"/>
      <c r="O20" s="353"/>
      <c r="P20" s="353"/>
      <c r="Q20" s="352"/>
    </row>
    <row r="21" spans="2:17" ht="14.25" x14ac:dyDescent="0.2">
      <c r="B21" s="358"/>
      <c r="C21" s="358"/>
      <c r="D21" s="358"/>
      <c r="E21" s="358"/>
      <c r="F21" s="358"/>
      <c r="G21" s="358"/>
      <c r="H21" s="358"/>
      <c r="I21" s="358"/>
      <c r="J21" s="358"/>
      <c r="K21" s="358"/>
      <c r="L21" s="98"/>
      <c r="M21" s="98"/>
      <c r="N21" s="98"/>
      <c r="O21" s="353"/>
      <c r="P21" s="353"/>
      <c r="Q21" s="352"/>
    </row>
    <row r="22" spans="2:17" ht="14.25" x14ac:dyDescent="0.2">
      <c r="B22" s="358"/>
      <c r="C22" s="358"/>
      <c r="D22" s="358"/>
      <c r="E22" s="358"/>
      <c r="F22" s="358"/>
      <c r="G22" s="358"/>
      <c r="H22" s="358"/>
      <c r="I22" s="358"/>
      <c r="J22" s="358"/>
      <c r="K22" s="358"/>
      <c r="L22" s="98"/>
      <c r="M22" s="98"/>
      <c r="N22" s="98"/>
      <c r="O22" s="353"/>
      <c r="P22" s="353"/>
      <c r="Q22" s="352"/>
    </row>
    <row r="23" spans="2:17" ht="14.25" x14ac:dyDescent="0.2">
      <c r="B23" s="358"/>
      <c r="C23" s="358"/>
      <c r="D23" s="358"/>
      <c r="E23" s="358"/>
      <c r="F23" s="358"/>
      <c r="G23" s="358"/>
      <c r="H23" s="358"/>
      <c r="I23" s="358"/>
      <c r="J23" s="358"/>
      <c r="K23" s="358"/>
      <c r="L23" s="98"/>
      <c r="M23" s="98"/>
      <c r="N23" s="98"/>
      <c r="O23" s="353"/>
      <c r="P23" s="353"/>
      <c r="Q23" s="352"/>
    </row>
    <row r="24" spans="2:17" ht="14.25" x14ac:dyDescent="0.2">
      <c r="B24" s="358"/>
      <c r="C24" s="358"/>
      <c r="D24" s="358"/>
      <c r="E24" s="358"/>
      <c r="F24" s="358"/>
      <c r="G24" s="358"/>
      <c r="H24" s="358"/>
      <c r="I24" s="358"/>
      <c r="J24" s="358"/>
      <c r="K24" s="358"/>
      <c r="L24" s="98"/>
      <c r="M24" s="98"/>
      <c r="N24" s="98"/>
      <c r="O24" s="353"/>
      <c r="P24" s="353"/>
      <c r="Q24" s="352"/>
    </row>
    <row r="25" spans="2:17" ht="14.25" x14ac:dyDescent="0.2">
      <c r="B25" s="98"/>
      <c r="C25" s="98"/>
      <c r="D25" s="98"/>
      <c r="E25" s="98"/>
      <c r="F25" s="98"/>
      <c r="G25" s="98"/>
      <c r="H25" s="98"/>
      <c r="I25" s="98"/>
      <c r="J25" s="98"/>
      <c r="K25" s="98"/>
      <c r="L25" s="98"/>
      <c r="M25" s="98"/>
      <c r="N25" s="98"/>
      <c r="O25" s="353"/>
      <c r="P25" s="353"/>
      <c r="Q25" s="352"/>
    </row>
    <row r="26" spans="2:17" ht="14.25" x14ac:dyDescent="0.2">
      <c r="B26" s="98"/>
      <c r="C26" s="98"/>
      <c r="D26" s="98"/>
      <c r="E26" s="98"/>
      <c r="F26" s="98"/>
      <c r="G26" s="98"/>
      <c r="H26" s="98"/>
      <c r="I26" s="98"/>
      <c r="J26" s="98"/>
      <c r="K26" s="98"/>
      <c r="L26" s="98"/>
      <c r="M26" s="98"/>
      <c r="N26" s="98"/>
      <c r="O26" s="353"/>
      <c r="P26" s="353"/>
      <c r="Q26" s="352"/>
    </row>
    <row r="27" spans="2:17" ht="18" x14ac:dyDescent="0.2">
      <c r="B27" s="351" t="s">
        <v>467</v>
      </c>
      <c r="C27" s="350"/>
      <c r="D27" s="98"/>
      <c r="E27" s="98"/>
      <c r="F27" s="98"/>
      <c r="G27" s="98"/>
      <c r="H27" s="98"/>
      <c r="I27" s="98"/>
      <c r="J27" s="98"/>
      <c r="K27" s="98"/>
      <c r="L27" s="98"/>
      <c r="M27" s="98"/>
      <c r="N27" s="98"/>
      <c r="O27" s="353" t="s">
        <v>258</v>
      </c>
      <c r="P27" s="353" t="s">
        <v>257</v>
      </c>
      <c r="Q27" s="352"/>
    </row>
    <row r="28" spans="2:17" ht="14.25" x14ac:dyDescent="0.2">
      <c r="B28" s="350" t="s">
        <v>256</v>
      </c>
      <c r="C28" s="350"/>
      <c r="D28" s="98"/>
      <c r="E28" s="98"/>
      <c r="F28" s="98"/>
      <c r="G28" s="98"/>
      <c r="H28" s="98"/>
      <c r="I28" s="98"/>
      <c r="J28" s="98"/>
      <c r="K28" s="98"/>
      <c r="L28" s="98"/>
      <c r="M28" s="98"/>
      <c r="N28" s="98"/>
      <c r="O28" s="98"/>
      <c r="P28" s="98"/>
    </row>
    <row r="29" spans="2:17" ht="14.25" x14ac:dyDescent="0.2">
      <c r="B29" s="89" t="s">
        <v>254</v>
      </c>
      <c r="C29" s="89"/>
      <c r="D29" s="98"/>
      <c r="E29" s="98"/>
      <c r="F29" s="98"/>
      <c r="G29" s="98"/>
      <c r="H29" s="98"/>
      <c r="I29" s="98"/>
      <c r="J29" s="98"/>
      <c r="K29" s="98"/>
      <c r="L29" s="98"/>
      <c r="M29" s="98"/>
      <c r="N29" s="98"/>
      <c r="O29" s="98"/>
      <c r="P29" s="98"/>
    </row>
    <row r="30" spans="2:17" ht="14.25" x14ac:dyDescent="0.2">
      <c r="B30" s="89" t="s">
        <v>576</v>
      </c>
      <c r="C30" s="89"/>
      <c r="D30" s="98"/>
      <c r="E30" s="98"/>
      <c r="F30" s="98"/>
      <c r="G30" s="98"/>
      <c r="H30" s="98"/>
      <c r="I30" s="98"/>
      <c r="J30" s="98"/>
      <c r="K30" s="98"/>
      <c r="L30" s="98"/>
      <c r="M30" s="98"/>
      <c r="N30" s="98"/>
      <c r="O30" s="98"/>
      <c r="P30" s="98"/>
    </row>
    <row r="31" spans="2:17" ht="14.25" x14ac:dyDescent="0.2">
      <c r="B31" s="89" t="s">
        <v>463</v>
      </c>
      <c r="C31" s="89"/>
      <c r="D31" s="98"/>
      <c r="E31" s="98"/>
      <c r="F31" s="98"/>
      <c r="G31" s="98"/>
      <c r="H31" s="98"/>
      <c r="I31" s="98"/>
      <c r="J31" s="98"/>
      <c r="K31" s="98"/>
      <c r="L31" s="98"/>
      <c r="M31" s="98"/>
      <c r="N31" s="98"/>
      <c r="O31" s="98"/>
      <c r="P31" s="98"/>
    </row>
    <row r="32" spans="2:17" ht="14.25" x14ac:dyDescent="0.2">
      <c r="B32" s="89" t="s">
        <v>255</v>
      </c>
      <c r="C32" s="89"/>
      <c r="D32" s="98"/>
      <c r="E32" s="98"/>
      <c r="F32" s="98"/>
      <c r="G32" s="98"/>
      <c r="H32" s="98"/>
      <c r="I32" s="98"/>
      <c r="J32" s="98"/>
      <c r="K32" s="98"/>
      <c r="L32" s="98"/>
      <c r="M32" s="98"/>
      <c r="N32" s="98"/>
      <c r="O32" s="98"/>
      <c r="P32" s="98"/>
    </row>
    <row r="33" spans="1:18" ht="15" thickBot="1" x14ac:dyDescent="0.25">
      <c r="B33" s="89"/>
      <c r="C33" s="89"/>
      <c r="D33" s="98"/>
      <c r="E33" s="98"/>
      <c r="F33" s="98"/>
      <c r="G33" s="98"/>
      <c r="H33" s="98"/>
      <c r="I33" s="98"/>
      <c r="J33" s="98"/>
      <c r="K33" s="98"/>
      <c r="L33" s="98"/>
      <c r="M33" s="98"/>
      <c r="N33" s="98"/>
      <c r="O33" s="98"/>
      <c r="P33" s="98"/>
    </row>
    <row r="34" spans="1:18" ht="18.75" thickBot="1" x14ac:dyDescent="0.25">
      <c r="B34" s="338"/>
      <c r="C34" s="351"/>
      <c r="D34" s="350"/>
      <c r="E34" s="98"/>
      <c r="F34" s="98"/>
      <c r="G34" s="98"/>
      <c r="H34" s="98"/>
      <c r="I34" s="98"/>
      <c r="J34" s="336" t="s">
        <v>249</v>
      </c>
      <c r="K34" s="335"/>
      <c r="L34" s="334"/>
      <c r="M34" s="333"/>
      <c r="N34" s="98"/>
      <c r="O34" s="98"/>
      <c r="P34" s="349" t="s">
        <v>248</v>
      </c>
      <c r="Q34" s="331">
        <v>8.7499999999999994E-2</v>
      </c>
    </row>
    <row r="35" spans="1:18" s="347" customFormat="1" ht="26.25" thickBot="1" x14ac:dyDescent="0.25">
      <c r="A35" s="44"/>
      <c r="B35" s="330" t="s">
        <v>247</v>
      </c>
      <c r="C35" s="328" t="s">
        <v>246</v>
      </c>
      <c r="D35" s="328" t="s">
        <v>245</v>
      </c>
      <c r="E35" s="328" t="s">
        <v>459</v>
      </c>
      <c r="F35" s="328" t="s">
        <v>244</v>
      </c>
      <c r="G35" s="328" t="s">
        <v>243</v>
      </c>
      <c r="H35" s="328" t="s">
        <v>462</v>
      </c>
      <c r="I35" s="328" t="s">
        <v>461</v>
      </c>
      <c r="J35" s="329" t="s">
        <v>242</v>
      </c>
      <c r="K35" s="329" t="s">
        <v>241</v>
      </c>
      <c r="L35" s="329" t="s">
        <v>240</v>
      </c>
      <c r="M35" s="329" t="s">
        <v>239</v>
      </c>
      <c r="N35" s="328" t="s">
        <v>238</v>
      </c>
      <c r="O35" s="328" t="s">
        <v>253</v>
      </c>
      <c r="P35" s="327" t="s">
        <v>236</v>
      </c>
      <c r="Q35" s="326" t="s">
        <v>235</v>
      </c>
      <c r="R35" s="901" t="s">
        <v>252</v>
      </c>
    </row>
    <row r="36" spans="1:18" x14ac:dyDescent="0.2">
      <c r="B36" s="324"/>
      <c r="C36" s="322"/>
      <c r="D36" s="322"/>
      <c r="E36" s="322"/>
      <c r="F36" s="322"/>
      <c r="G36" s="322"/>
      <c r="H36" s="322"/>
      <c r="I36" s="322"/>
      <c r="J36" s="323"/>
      <c r="K36" s="323"/>
      <c r="L36" s="323"/>
      <c r="M36" s="323"/>
      <c r="N36" s="322"/>
      <c r="O36" s="322"/>
      <c r="P36" s="321">
        <f>N36*O36</f>
        <v>0</v>
      </c>
      <c r="Q36" s="312">
        <f>P36*1.0875</f>
        <v>0</v>
      </c>
      <c r="R36" s="312"/>
    </row>
    <row r="37" spans="1:18" x14ac:dyDescent="0.2">
      <c r="B37" s="324"/>
      <c r="C37" s="322"/>
      <c r="D37" s="322"/>
      <c r="E37" s="322"/>
      <c r="F37" s="322"/>
      <c r="G37" s="322"/>
      <c r="H37" s="322"/>
      <c r="I37" s="322"/>
      <c r="J37" s="323"/>
      <c r="K37" s="323"/>
      <c r="L37" s="323"/>
      <c r="M37" s="323"/>
      <c r="N37" s="322"/>
      <c r="O37" s="322"/>
      <c r="P37" s="321"/>
      <c r="Q37" s="312"/>
      <c r="R37" s="312"/>
    </row>
    <row r="38" spans="1:18" x14ac:dyDescent="0.2">
      <c r="B38" s="324"/>
      <c r="C38" s="322"/>
      <c r="D38" s="322"/>
      <c r="E38" s="322"/>
      <c r="F38" s="322"/>
      <c r="G38" s="322"/>
      <c r="H38" s="322"/>
      <c r="I38" s="322"/>
      <c r="J38" s="323"/>
      <c r="K38" s="323"/>
      <c r="L38" s="323"/>
      <c r="M38" s="323"/>
      <c r="N38" s="322"/>
      <c r="O38" s="322"/>
      <c r="P38" s="321"/>
      <c r="Q38" s="312"/>
      <c r="R38" s="312"/>
    </row>
    <row r="39" spans="1:18" x14ac:dyDescent="0.2">
      <c r="B39" s="324"/>
      <c r="C39" s="322"/>
      <c r="D39" s="322"/>
      <c r="E39" s="322"/>
      <c r="F39" s="322"/>
      <c r="G39" s="322"/>
      <c r="H39" s="322"/>
      <c r="I39" s="322"/>
      <c r="J39" s="323"/>
      <c r="K39" s="323"/>
      <c r="L39" s="323"/>
      <c r="M39" s="323"/>
      <c r="N39" s="322"/>
      <c r="O39" s="322"/>
      <c r="P39" s="321"/>
      <c r="Q39" s="312"/>
      <c r="R39" s="312"/>
    </row>
    <row r="40" spans="1:18" x14ac:dyDescent="0.2">
      <c r="B40" s="320"/>
      <c r="C40" s="318"/>
      <c r="D40" s="318"/>
      <c r="E40" s="318"/>
      <c r="F40" s="318"/>
      <c r="G40" s="318"/>
      <c r="H40" s="318"/>
      <c r="I40" s="318"/>
      <c r="J40" s="319"/>
      <c r="K40" s="319"/>
      <c r="L40" s="319"/>
      <c r="M40" s="319"/>
      <c r="N40" s="318"/>
      <c r="O40" s="318"/>
      <c r="P40" s="317">
        <f>N40*O40</f>
        <v>0</v>
      </c>
      <c r="Q40" s="312">
        <f>P40*1.0875</f>
        <v>0</v>
      </c>
      <c r="R40" s="312"/>
    </row>
    <row r="41" spans="1:18" x14ac:dyDescent="0.2">
      <c r="B41" s="320"/>
      <c r="C41" s="318"/>
      <c r="D41" s="318"/>
      <c r="E41" s="318"/>
      <c r="F41" s="318"/>
      <c r="G41" s="318"/>
      <c r="H41" s="318"/>
      <c r="I41" s="318"/>
      <c r="J41" s="319"/>
      <c r="K41" s="319"/>
      <c r="L41" s="319"/>
      <c r="M41" s="319"/>
      <c r="N41" s="318"/>
      <c r="O41" s="318"/>
      <c r="P41" s="317">
        <f>N41*O41</f>
        <v>0</v>
      </c>
      <c r="Q41" s="312">
        <f>P41*1.0875</f>
        <v>0</v>
      </c>
      <c r="R41" s="312"/>
    </row>
    <row r="42" spans="1:18" s="3" customFormat="1" ht="14.25" x14ac:dyDescent="0.2">
      <c r="A42" s="44"/>
      <c r="B42" s="320"/>
      <c r="C42" s="318"/>
      <c r="D42" s="318"/>
      <c r="E42" s="318"/>
      <c r="F42" s="318"/>
      <c r="G42" s="318"/>
      <c r="H42" s="318"/>
      <c r="I42" s="318"/>
      <c r="J42" s="319"/>
      <c r="K42" s="319"/>
      <c r="L42" s="319"/>
      <c r="M42" s="319"/>
      <c r="N42" s="318"/>
      <c r="O42" s="318"/>
      <c r="P42" s="317">
        <f>N42*O42</f>
        <v>0</v>
      </c>
      <c r="Q42" s="312">
        <f>P42*1.0875</f>
        <v>0</v>
      </c>
      <c r="R42" s="312"/>
    </row>
    <row r="43" spans="1:18" ht="13.5" thickBot="1" x14ac:dyDescent="0.25">
      <c r="B43" s="316"/>
      <c r="C43" s="314"/>
      <c r="D43" s="314"/>
      <c r="E43" s="314"/>
      <c r="F43" s="314"/>
      <c r="G43" s="314"/>
      <c r="H43" s="314"/>
      <c r="I43" s="314"/>
      <c r="J43" s="315"/>
      <c r="K43" s="315"/>
      <c r="L43" s="315"/>
      <c r="M43" s="315"/>
      <c r="N43" s="314"/>
      <c r="O43" s="314"/>
      <c r="P43" s="313">
        <f>N43*O43</f>
        <v>0</v>
      </c>
      <c r="Q43" s="312">
        <f>P43*1.0875</f>
        <v>0</v>
      </c>
      <c r="R43" s="345"/>
    </row>
    <row r="44" spans="1:18" s="325" customFormat="1" ht="13.5" thickBot="1" x14ac:dyDescent="0.25">
      <c r="A44" s="44"/>
      <c r="B44" s="338"/>
      <c r="C44" s="338"/>
      <c r="D44" s="338"/>
      <c r="E44" s="338"/>
      <c r="F44" s="338"/>
      <c r="G44" s="338"/>
      <c r="H44" s="338"/>
      <c r="I44" s="338"/>
      <c r="J44" s="338"/>
      <c r="K44" s="338"/>
      <c r="L44" s="338"/>
      <c r="M44" s="338"/>
      <c r="N44" s="343"/>
      <c r="O44" s="343"/>
      <c r="P44" s="342" t="s">
        <v>234</v>
      </c>
      <c r="Q44" s="902" t="e">
        <f>SUM(#REF!)</f>
        <v>#REF!</v>
      </c>
      <c r="R44" s="44"/>
    </row>
    <row r="45" spans="1:18" ht="14.25" x14ac:dyDescent="0.2">
      <c r="B45" s="98"/>
      <c r="C45" s="98"/>
      <c r="D45" s="98"/>
      <c r="E45" s="98"/>
      <c r="F45" s="98"/>
      <c r="G45" s="341"/>
      <c r="H45" s="341"/>
      <c r="I45" s="341"/>
      <c r="J45" s="341"/>
      <c r="K45" s="341"/>
      <c r="L45" s="341"/>
      <c r="M45" s="341"/>
      <c r="N45" s="340"/>
      <c r="O45" s="340"/>
      <c r="P45" s="89"/>
    </row>
    <row r="46" spans="1:18" ht="18" x14ac:dyDescent="0.25">
      <c r="B46" s="339" t="s">
        <v>577</v>
      </c>
      <c r="C46" s="98"/>
      <c r="D46" s="98"/>
      <c r="E46" s="98"/>
      <c r="F46" s="98"/>
      <c r="G46" s="98"/>
      <c r="H46" s="98"/>
      <c r="I46" s="98"/>
      <c r="J46" s="98"/>
      <c r="K46" s="98"/>
      <c r="L46" s="98"/>
      <c r="M46" s="98"/>
      <c r="N46" s="98"/>
      <c r="O46" s="338"/>
      <c r="P46" s="338"/>
    </row>
    <row r="47" spans="1:18" ht="14.25" x14ac:dyDescent="0.2">
      <c r="B47" s="98" t="s">
        <v>583</v>
      </c>
      <c r="C47" s="98"/>
      <c r="D47" s="98"/>
      <c r="E47" s="98"/>
      <c r="F47" s="98"/>
      <c r="G47" s="98"/>
      <c r="H47" s="98"/>
      <c r="I47" s="98"/>
      <c r="J47" s="98"/>
      <c r="K47" s="98"/>
      <c r="L47" s="98"/>
      <c r="M47" s="98"/>
      <c r="N47" s="98"/>
      <c r="O47" s="338"/>
      <c r="P47" s="338"/>
    </row>
    <row r="48" spans="1:18" ht="15" x14ac:dyDescent="0.25">
      <c r="B48" s="695" t="s">
        <v>460</v>
      </c>
      <c r="C48" s="89"/>
      <c r="D48" s="98"/>
      <c r="E48" s="98"/>
      <c r="F48" s="98"/>
      <c r="G48" s="98"/>
      <c r="H48" s="98"/>
      <c r="I48" s="98"/>
      <c r="J48" s="98"/>
      <c r="K48" s="98"/>
      <c r="L48" s="98"/>
      <c r="M48" s="98"/>
      <c r="N48" s="98"/>
      <c r="O48" s="98"/>
      <c r="P48" s="98"/>
    </row>
    <row r="49" spans="2:18" ht="15" x14ac:dyDescent="0.25">
      <c r="B49" s="694" t="s">
        <v>250</v>
      </c>
      <c r="C49" s="89"/>
      <c r="D49" s="98"/>
      <c r="E49" s="98"/>
      <c r="F49" s="98"/>
      <c r="G49" s="98"/>
      <c r="H49" s="98"/>
      <c r="I49" s="98"/>
      <c r="J49" s="98"/>
      <c r="K49" s="98"/>
      <c r="L49" s="98"/>
      <c r="M49" s="98"/>
      <c r="N49" s="98"/>
      <c r="O49" s="98"/>
      <c r="P49" s="98"/>
    </row>
    <row r="50" spans="2:18" ht="15" thickBot="1" x14ac:dyDescent="0.25">
      <c r="B50" s="98" t="s">
        <v>251</v>
      </c>
      <c r="C50" s="98"/>
      <c r="D50" s="98"/>
      <c r="E50" s="98"/>
      <c r="F50" s="98"/>
      <c r="G50" s="98"/>
      <c r="H50" s="98"/>
      <c r="I50" s="98"/>
      <c r="J50" s="98"/>
      <c r="K50" s="98"/>
      <c r="L50" s="98"/>
      <c r="M50" s="98"/>
      <c r="N50" s="98"/>
      <c r="O50" s="98"/>
      <c r="P50" s="98"/>
      <c r="Q50" s="3"/>
      <c r="R50" s="3"/>
    </row>
    <row r="51" spans="2:18" ht="18.75" thickBot="1" x14ac:dyDescent="0.25">
      <c r="C51" s="1"/>
      <c r="D51" s="7"/>
      <c r="E51" s="3"/>
      <c r="F51" s="3"/>
      <c r="G51" s="3"/>
      <c r="H51" s="3"/>
      <c r="I51" s="3"/>
      <c r="J51" s="336" t="s">
        <v>249</v>
      </c>
      <c r="K51" s="335"/>
      <c r="L51" s="334"/>
      <c r="M51" s="333"/>
      <c r="N51" s="3"/>
      <c r="O51" s="3"/>
      <c r="P51" s="332" t="s">
        <v>248</v>
      </c>
      <c r="Q51" s="331">
        <v>8.7499999999999994E-2</v>
      </c>
    </row>
    <row r="52" spans="2:18" ht="26.25" thickBot="1" x14ac:dyDescent="0.25">
      <c r="B52" s="330" t="s">
        <v>247</v>
      </c>
      <c r="C52" s="328" t="s">
        <v>246</v>
      </c>
      <c r="D52" s="328" t="s">
        <v>245</v>
      </c>
      <c r="E52" s="328" t="s">
        <v>459</v>
      </c>
      <c r="F52" s="328" t="s">
        <v>244</v>
      </c>
      <c r="G52" s="328" t="s">
        <v>243</v>
      </c>
      <c r="H52" s="328" t="s">
        <v>458</v>
      </c>
      <c r="I52" s="328" t="s">
        <v>457</v>
      </c>
      <c r="J52" s="329" t="s">
        <v>242</v>
      </c>
      <c r="K52" s="329" t="s">
        <v>241</v>
      </c>
      <c r="L52" s="329" t="s">
        <v>240</v>
      </c>
      <c r="M52" s="329" t="s">
        <v>239</v>
      </c>
      <c r="N52" s="328" t="s">
        <v>238</v>
      </c>
      <c r="O52" s="328" t="s">
        <v>237</v>
      </c>
      <c r="P52" s="327" t="s">
        <v>236</v>
      </c>
      <c r="Q52" s="326" t="s">
        <v>235</v>
      </c>
      <c r="R52" s="348" t="s">
        <v>252</v>
      </c>
    </row>
    <row r="53" spans="2:18" x14ac:dyDescent="0.2">
      <c r="B53" s="324"/>
      <c r="C53" s="322"/>
      <c r="D53" s="322"/>
      <c r="E53" s="322"/>
      <c r="F53" s="322"/>
      <c r="G53" s="322"/>
      <c r="H53" s="322"/>
      <c r="I53" s="322"/>
      <c r="J53" s="323"/>
      <c r="K53" s="323"/>
      <c r="L53" s="323"/>
      <c r="M53" s="323"/>
      <c r="N53" s="322"/>
      <c r="O53" s="322"/>
      <c r="P53" s="321">
        <f>N53*O53</f>
        <v>0</v>
      </c>
      <c r="Q53" s="312">
        <f>P53*1.0875</f>
        <v>0</v>
      </c>
      <c r="R53" s="312"/>
    </row>
    <row r="54" spans="2:18" ht="21" customHeight="1" x14ac:dyDescent="0.2">
      <c r="B54" s="324"/>
      <c r="C54" s="322"/>
      <c r="D54" s="322"/>
      <c r="E54" s="322"/>
      <c r="F54" s="322"/>
      <c r="G54" s="322"/>
      <c r="H54" s="322"/>
      <c r="I54" s="322"/>
      <c r="J54" s="323"/>
      <c r="K54" s="323"/>
      <c r="L54" s="323"/>
      <c r="M54" s="323"/>
      <c r="N54" s="322"/>
      <c r="O54" s="322"/>
      <c r="P54" s="321"/>
      <c r="Q54" s="312"/>
      <c r="R54" s="312"/>
    </row>
    <row r="55" spans="2:18" x14ac:dyDescent="0.2">
      <c r="B55" s="324"/>
      <c r="C55" s="322"/>
      <c r="D55" s="322"/>
      <c r="E55" s="322"/>
      <c r="F55" s="322"/>
      <c r="G55" s="322"/>
      <c r="H55" s="322"/>
      <c r="I55" s="322"/>
      <c r="J55" s="323"/>
      <c r="K55" s="323"/>
      <c r="L55" s="323"/>
      <c r="M55" s="323"/>
      <c r="N55" s="322"/>
      <c r="O55" s="322"/>
      <c r="P55" s="321"/>
      <c r="Q55" s="312"/>
      <c r="R55" s="312"/>
    </row>
    <row r="56" spans="2:18" x14ac:dyDescent="0.2">
      <c r="B56" s="324"/>
      <c r="C56" s="322"/>
      <c r="D56" s="322"/>
      <c r="E56" s="322"/>
      <c r="F56" s="322"/>
      <c r="G56" s="322"/>
      <c r="H56" s="322"/>
      <c r="I56" s="322"/>
      <c r="J56" s="323"/>
      <c r="K56" s="323"/>
      <c r="L56" s="323"/>
      <c r="M56" s="323"/>
      <c r="N56" s="322"/>
      <c r="O56" s="322"/>
      <c r="P56" s="321"/>
      <c r="Q56" s="312"/>
      <c r="R56" s="312"/>
    </row>
    <row r="57" spans="2:18" x14ac:dyDescent="0.2">
      <c r="B57" s="320"/>
      <c r="C57" s="318"/>
      <c r="D57" s="318"/>
      <c r="E57" s="318"/>
      <c r="F57" s="318"/>
      <c r="G57" s="318"/>
      <c r="H57" s="318"/>
      <c r="I57" s="318"/>
      <c r="J57" s="319"/>
      <c r="K57" s="319"/>
      <c r="L57" s="319"/>
      <c r="M57" s="319"/>
      <c r="N57" s="318"/>
      <c r="O57" s="318"/>
      <c r="P57" s="317">
        <f>N57*O57</f>
        <v>0</v>
      </c>
      <c r="Q57" s="312">
        <f>P57*1.0875</f>
        <v>0</v>
      </c>
      <c r="R57" s="312"/>
    </row>
    <row r="58" spans="2:18" x14ac:dyDescent="0.2">
      <c r="B58" s="320"/>
      <c r="C58" s="318"/>
      <c r="D58" s="318"/>
      <c r="E58" s="318"/>
      <c r="F58" s="318"/>
      <c r="G58" s="318"/>
      <c r="H58" s="318"/>
      <c r="I58" s="318"/>
      <c r="J58" s="319"/>
      <c r="K58" s="319"/>
      <c r="L58" s="319"/>
      <c r="M58" s="319"/>
      <c r="N58" s="318"/>
      <c r="O58" s="318"/>
      <c r="P58" s="317">
        <f>N58*O58</f>
        <v>0</v>
      </c>
      <c r="Q58" s="312">
        <f>P58*1.0875</f>
        <v>0</v>
      </c>
      <c r="R58" s="312"/>
    </row>
    <row r="59" spans="2:18" x14ac:dyDescent="0.2">
      <c r="B59" s="320"/>
      <c r="C59" s="318"/>
      <c r="D59" s="318"/>
      <c r="E59" s="318"/>
      <c r="F59" s="318"/>
      <c r="G59" s="318"/>
      <c r="H59" s="318"/>
      <c r="I59" s="318"/>
      <c r="J59" s="319"/>
      <c r="K59" s="319"/>
      <c r="L59" s="319"/>
      <c r="M59" s="319"/>
      <c r="N59" s="318"/>
      <c r="O59" s="318"/>
      <c r="P59" s="317">
        <f>N59*O59</f>
        <v>0</v>
      </c>
      <c r="Q59" s="312">
        <f>P59*1.0875</f>
        <v>0</v>
      </c>
      <c r="R59" s="312"/>
    </row>
    <row r="60" spans="2:18" ht="13.5" thickBot="1" x14ac:dyDescent="0.25">
      <c r="B60" s="316"/>
      <c r="C60" s="314"/>
      <c r="D60" s="314"/>
      <c r="E60" s="314"/>
      <c r="F60" s="314"/>
      <c r="G60" s="314"/>
      <c r="H60" s="314"/>
      <c r="I60" s="314"/>
      <c r="J60" s="315"/>
      <c r="K60" s="315"/>
      <c r="L60" s="315"/>
      <c r="M60" s="315"/>
      <c r="N60" s="314"/>
      <c r="O60" s="314"/>
      <c r="P60" s="313">
        <f>N60*O60</f>
        <v>0</v>
      </c>
      <c r="Q60" s="312">
        <f>P60*1.0875</f>
        <v>0</v>
      </c>
      <c r="R60" s="345"/>
    </row>
    <row r="61" spans="2:18" ht="13.5" thickBot="1" x14ac:dyDescent="0.25">
      <c r="J61" s="311"/>
      <c r="K61" s="311"/>
      <c r="L61" s="311"/>
      <c r="M61" s="311"/>
      <c r="N61" s="311"/>
      <c r="O61" s="310"/>
      <c r="P61" s="310" t="s">
        <v>234</v>
      </c>
      <c r="Q61" s="309">
        <f>SUM(Q53:Q60)</f>
        <v>0</v>
      </c>
      <c r="R61" s="344"/>
    </row>
    <row r="62" spans="2:18" ht="14.25" x14ac:dyDescent="0.2">
      <c r="B62" s="3"/>
      <c r="C62" s="3"/>
      <c r="D62" s="3"/>
      <c r="E62" s="3"/>
      <c r="F62" s="3"/>
      <c r="G62" s="308"/>
      <c r="H62" s="308"/>
      <c r="I62" s="308"/>
      <c r="J62" s="308"/>
      <c r="K62" s="308"/>
      <c r="L62" s="308"/>
      <c r="M62" s="308"/>
      <c r="N62" s="307"/>
      <c r="O62" s="307"/>
      <c r="P62" s="70"/>
    </row>
  </sheetData>
  <dataValidations count="3">
    <dataValidation type="list" allowBlank="1" showInputMessage="1" showErrorMessage="1" sqref="G53:G60 G36:G43">
      <formula1>$Q$7:$Q$8</formula1>
    </dataValidation>
    <dataValidation type="list" allowBlank="1" showInputMessage="1" showErrorMessage="1" sqref="F53:F60 F36:F43">
      <formula1>$O$11:$O$27</formula1>
    </dataValidation>
    <dataValidation type="list" allowBlank="1" showInputMessage="1" showErrorMessage="1" sqref="B53:B60 B36:B43">
      <formula1>$P$11:$P$27</formula1>
    </dataValidation>
  </dataValidations>
  <printOptions horizontalCentered="1"/>
  <pageMargins left="0.16" right="0.16" top="0.28999999999999998" bottom="0.19" header="0.16" footer="0.17"/>
  <pageSetup scale="4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1A Major Changes Table</vt:lpstr>
      <vt:lpstr>2A Revenue Report</vt:lpstr>
      <vt:lpstr>2B Fees &amp; Fines</vt:lpstr>
      <vt:lpstr>2C Cost Recovery</vt:lpstr>
      <vt:lpstr>2D Legislative Changes</vt:lpstr>
      <vt:lpstr>3A Expenditure Report</vt:lpstr>
      <vt:lpstr>3B Workorder Balancing</vt:lpstr>
      <vt:lpstr>3C Position Changes</vt:lpstr>
      <vt:lpstr>4 Equipment &amp; Fleet</vt:lpstr>
      <vt:lpstr>4D Fleet Request</vt:lpstr>
      <vt:lpstr>5 COIT Request (Online)</vt:lpstr>
      <vt:lpstr>6 Capital Request (Online)</vt:lpstr>
      <vt:lpstr>7A Contracts Non-ICT</vt:lpstr>
      <vt:lpstr>7B Contracts ICT</vt:lpstr>
      <vt:lpstr>8A FAMIS Project Coding</vt:lpstr>
      <vt:lpstr>8B FAMIS Index Coding</vt:lpstr>
      <vt:lpstr>Prop J Summary</vt:lpstr>
      <vt:lpstr>Prop J Main Template</vt:lpstr>
      <vt:lpstr>Prop J Cost Detail</vt:lpstr>
      <vt:lpstr>Prop J Sample</vt:lpstr>
      <vt:lpstr>'2B Fees &amp; Fines'!Auto_CPI_Adjust_Yes_No</vt:lpstr>
      <vt:lpstr>'2B Fees &amp; Fines'!cpi_adj</vt:lpstr>
      <vt:lpstr>'1A Major Changes Table'!Print_Area</vt:lpstr>
      <vt:lpstr>'2A Revenue Report'!Print_Area</vt:lpstr>
      <vt:lpstr>'2B Fees &amp; Fines'!Print_Area</vt:lpstr>
      <vt:lpstr>'2C Cost Recovery'!Print_Area</vt:lpstr>
      <vt:lpstr>'2D Legislative Changes'!Print_Area</vt:lpstr>
      <vt:lpstr>'3A Expenditure Report'!Print_Area</vt:lpstr>
      <vt:lpstr>'3B Workorder Balancing'!Print_Area</vt:lpstr>
      <vt:lpstr>'3C Position Changes'!Print_Area</vt:lpstr>
      <vt:lpstr>'4 Equipment &amp; Fleet'!Print_Area</vt:lpstr>
      <vt:lpstr>'5 COIT Request (Online)'!Print_Area</vt:lpstr>
      <vt:lpstr>'6 Capital Request (Online)'!Print_Area</vt:lpstr>
      <vt:lpstr>'7B Contracts ICT'!Print_Area</vt:lpstr>
      <vt:lpstr>'8A FAMIS Project Coding'!Print_Area</vt:lpstr>
      <vt:lpstr>'8B FAMIS Index Coding'!Print_Area</vt:lpstr>
      <vt:lpstr>'Prop J Cost Detail'!Print_Area</vt:lpstr>
      <vt:lpstr>'Prop J Main Template'!Print_Area</vt:lpstr>
      <vt:lpstr>'Prop J Sample'!Print_Area</vt:lpstr>
      <vt:lpstr>'Prop J Summary'!Print_Area</vt:lpstr>
      <vt:lpstr>'2B Fees &amp; Fines'!Print_Titles</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C</dc:creator>
  <cp:lastModifiedBy>Nataliya Kuzina</cp:lastModifiedBy>
  <cp:lastPrinted>2016-01-27T16:12:32Z</cp:lastPrinted>
  <dcterms:created xsi:type="dcterms:W3CDTF">2015-10-21T17:59:32Z</dcterms:created>
  <dcterms:modified xsi:type="dcterms:W3CDTF">2016-01-29T22:41:16Z</dcterms:modified>
</cp:coreProperties>
</file>