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050" yWindow="-120" windowWidth="13335" windowHeight="12090"/>
  </bookViews>
  <sheets>
    <sheet name="Form1A - MajorChangesTable" sheetId="1" r:id="rId1"/>
    <sheet name="Form 1B-Graphs" sheetId="34" r:id="rId2"/>
    <sheet name="Form 2A-Revenue Report" sheetId="7" r:id="rId3"/>
    <sheet name="Form 2B-Fees &amp; Fines" sheetId="23" r:id="rId4"/>
    <sheet name="Form 3A-Expenditure Report" sheetId="2" r:id="rId5"/>
    <sheet name="Form 3B-Children's Services" sheetId="4" r:id="rId6"/>
    <sheet name="Form 3C-Public Education Fund" sheetId="5" r:id="rId7"/>
    <sheet name="Form 4-Equipment" sheetId="22" r:id="rId8"/>
    <sheet name="Form 5-IT (Online)" sheetId="9" r:id="rId9"/>
    <sheet name="Form 7-Position Changes" sheetId="33" r:id="rId10"/>
    <sheet name="Form 8-Legislative Changes" sheetId="12" r:id="rId11"/>
    <sheet name="Form 9-Capital Request (Online)" sheetId="13" r:id="rId12"/>
    <sheet name="Form 10A-Contracts Non-ICT" sheetId="14" r:id="rId13"/>
    <sheet name="Form 10B-Contracts ICT" sheetId="16" r:id="rId14"/>
    <sheet name="FMCA" sheetId="32" r:id="rId15"/>
    <sheet name="Contact Sheet" sheetId="18" r:id="rId16"/>
    <sheet name="Prop J - Main Template" sheetId="24" r:id="rId17"/>
    <sheet name="Prop J Contract Cost Detail" sheetId="30" r:id="rId18"/>
    <sheet name="Prop J - 14-15 Main Template" sheetId="27" r:id="rId19"/>
    <sheet name="PropJ 1415 Contract Cost Detail" sheetId="31" r:id="rId20"/>
    <sheet name="Prop J Summary" sheetId="25" r:id="rId21"/>
    <sheet name="Prop J - Sample" sheetId="26"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5" hidden="1">'Contact Sheet'!$A$1:$E$63</definedName>
    <definedName name="Auto_CPI_Adjust_Yes_No" localSheetId="15">'[1]Form 2B-Fees &amp; Fines'!$Q$3:$Q$4</definedName>
    <definedName name="Auto_CPI_Adjust_Yes_No" localSheetId="12">'[2]Form 2B-Fees &amp; Fines'!$Q$3:$Q$4</definedName>
    <definedName name="Auto_CPI_Adjust_Yes_No" localSheetId="13">'[2]Form 2B-Fees &amp; Fines'!$Q$3:$Q$4</definedName>
    <definedName name="Auto_CPI_Adjust_Yes_No" localSheetId="1">'[1]Form 2B-Fees &amp; Fines'!$Q$3:$Q$4</definedName>
    <definedName name="Auto_CPI_Adjust_Yes_No" localSheetId="2">'[3]Form 2B-Fees &amp; Fines'!$Q$4:$Q$5</definedName>
    <definedName name="Auto_CPI_Adjust_Yes_No" localSheetId="3">'Form 2B-Fees &amp; Fines'!$Q$4:$Q$5</definedName>
    <definedName name="Auto_CPI_Adjust_Yes_No" localSheetId="5">'[4]Form 2B-Fees &amp; Fines'!$Q$4:$Q$5</definedName>
    <definedName name="Auto_CPI_Adjust_Yes_No" localSheetId="6">'[4]Form 2B-Fees &amp; Fines'!$Q$4:$Q$5</definedName>
    <definedName name="Auto_CPI_Adjust_Yes_No" localSheetId="7">'[3]Form 2B-Fees &amp; Fines'!$Q$4:$Q$5</definedName>
    <definedName name="Auto_CPI_Adjust_Yes_No" localSheetId="8">'[3]Form 2B-Fees &amp; Fines'!$Q$4:$Q$5</definedName>
    <definedName name="Auto_CPI_Adjust_Yes_No" localSheetId="9">'[5]Form 2B-Fees &amp; Fines'!$Q$3:$Q$4</definedName>
    <definedName name="Auto_CPI_Adjust_Yes_No" localSheetId="10">'[2]Form 2B-Fees &amp; Fines'!$Q$3:$Q$4</definedName>
    <definedName name="Auto_CPI_Adjust_Yes_No" localSheetId="11">'[1]Form 2B-Fees &amp; Fines'!$Q$3:$Q$4</definedName>
    <definedName name="Auto_CPI_Adjust_Yes_No" localSheetId="0">'[6]Form 2B-Fees &amp; Fines'!$Q$3:$Q$4</definedName>
    <definedName name="Auto_CPI_Adjust_Yes_No" localSheetId="16">'[7]Form 2B-Fees &amp; Fines'!$Q$3:$Q$4</definedName>
    <definedName name="Auto_CPI_Adjust_Yes_No" localSheetId="21">'[7]Form 2B-Fees &amp; Fines'!$Q$3:$Q$4</definedName>
    <definedName name="Auto_CPI_Adjust_Yes_No" localSheetId="17">'[1]Form 2B-Fees &amp; Fines'!$Q$3:$Q$4</definedName>
    <definedName name="Auto_CPI_Adjust_Yes_No" localSheetId="20">'[7]Form 2B-Fees &amp; Fines'!$Q$3:$Q$4</definedName>
    <definedName name="Auto_CPI_Adjust_Yes_No" localSheetId="19">'[1]Form 2B-Fees &amp; Fines'!$Q$3:$Q$4</definedName>
    <definedName name="Auto_CPI_Adjust_Yes_No">#REF!</definedName>
    <definedName name="cpi_adj" localSheetId="3">'Form 2B-Fees &amp; Fines'!$Q$4:$Q$5</definedName>
    <definedName name="_xlnm.Print_Area" localSheetId="14">FMCA!$A$3:$I$74</definedName>
    <definedName name="_xlnm.Print_Area" localSheetId="12">'Form 10A-Contracts Non-ICT'!$A$1:$X$51</definedName>
    <definedName name="_xlnm.Print_Area" localSheetId="13">'Form 10B-Contracts ICT'!$A$1:$X$50</definedName>
    <definedName name="_xlnm.Print_Area" localSheetId="2">'Form 2A-Revenue Report'!$A$1:$P$23</definedName>
    <definedName name="_xlnm.Print_Area" localSheetId="3">'Form 2B-Fees &amp; Fines'!$B$2:$W$51</definedName>
    <definedName name="_xlnm.Print_Area" localSheetId="4">'Form 3A-Expenditure Report'!$A$1:$O$73</definedName>
    <definedName name="_xlnm.Print_Area" localSheetId="5">'Form 3B-Children''s Services'!$A$1:$AY$50</definedName>
    <definedName name="_xlnm.Print_Area" localSheetId="7">'Form 4-Equipment'!$A$1:$L$34</definedName>
    <definedName name="_xlnm.Print_Area" localSheetId="9">'Form 7-Position Changes'!$A$1:$O$19</definedName>
    <definedName name="_xlnm.Print_Area" localSheetId="10">'Form 8-Legislative Changes'!$A$1:$E$23</definedName>
    <definedName name="_xlnm.Print_Area" localSheetId="0">'Form1A - MajorChangesTable'!$A$1:$M$20</definedName>
    <definedName name="_xlnm.Print_Area" localSheetId="16">'Prop J - Main Template'!$A$1:$O$57</definedName>
    <definedName name="_xlnm.Print_Area" localSheetId="21">'Prop J - Sample'!$B$2:$P$50</definedName>
    <definedName name="_xlnm.Print_Area" localSheetId="17">'Prop J Contract Cost Detail'!$A$3:$Q$38</definedName>
    <definedName name="_xlnm.Print_Area" localSheetId="20">'Prop J Summary'!$A$3:$C$34</definedName>
    <definedName name="_xlnm.Print_Area" localSheetId="19">'PropJ 1415 Contract Cost Detail'!$A$3:$Q$39</definedName>
    <definedName name="_xlnm.Print_Titles" localSheetId="15">'Contact Sheet'!$1:$1</definedName>
    <definedName name="_xlnm.Print_Titles" localSheetId="1">'Form 1B-Graphs'!$1:$3</definedName>
    <definedName name="_xlnm.Print_Titles" localSheetId="3">'Form 2B-Fees &amp; Fines'!$B:$H</definedName>
    <definedName name="_xlnm.Print_Titles" localSheetId="5">'Form 3B-Children''s Services'!$B:$C,'Form 3B-Children''s Services'!$5:$5</definedName>
    <definedName name="Request" localSheetId="12">'[8]Drop-Down Menu Lists'!$A$37:$A$39</definedName>
    <definedName name="Request" localSheetId="13">'[8]Drop-Down Menu Lists'!$A$37:$A$39</definedName>
    <definedName name="Request" localSheetId="3">'[9]Drop-Down Menu Lists'!$A$37:$A$39</definedName>
    <definedName name="Request" localSheetId="7">'[8]Drop-Down Menu Lists'!$A$37:$A$39</definedName>
    <definedName name="Request" localSheetId="9">'[8]Drop-Down Menu Lists'!$A$37:$A$39</definedName>
    <definedName name="Request" localSheetId="10">'[8]Drop-Down Menu Lists'!$A$37:$A$39</definedName>
    <definedName name="Request" localSheetId="0">'[8]Drop-Down Menu Lists'!$A$37:$A$39</definedName>
    <definedName name="Request" localSheetId="16">'[9]Drop-Down Menu Lists'!$A$37:$A$39</definedName>
    <definedName name="Request">'[10]Drop-Down Menu Lists'!$A$37:$A$39</definedName>
    <definedName name="Subsystems" localSheetId="12">'[8]Drop-Down Menu Lists'!$A$2:$A$32</definedName>
    <definedName name="Subsystems" localSheetId="13">'[8]Drop-Down Menu Lists'!$A$2:$A$32</definedName>
    <definedName name="Subsystems" localSheetId="3">'[9]Drop-Down Menu Lists'!$A$2:$A$32</definedName>
    <definedName name="Subsystems" localSheetId="7">'[8]Drop-Down Menu Lists'!$A$2:$A$32</definedName>
    <definedName name="Subsystems" localSheetId="9">'[8]Drop-Down Menu Lists'!$A$2:$A$32</definedName>
    <definedName name="Subsystems" localSheetId="10">'[8]Drop-Down Menu Lists'!$A$2:$A$32</definedName>
    <definedName name="Subsystems" localSheetId="0">'[8]Drop-Down Menu Lists'!$A$2:$A$32</definedName>
    <definedName name="Subsystems" localSheetId="16">'[9]Drop-Down Menu Lists'!$A$2:$A$32</definedName>
    <definedName name="Subsystems">'[10]Drop-Down Menu Lists'!$A$2:$A$32</definedName>
    <definedName name="Z_2A97402D_43D0_432A_AB33_36A59CD105EE_.wvu.PrintArea" localSheetId="6" hidden="1">'Form 3C-Public Education Fund'!$A$1:$I$18</definedName>
    <definedName name="Z_451F6914_485C_41BF_BEE5_06A72394C912_.wvu.PrintArea" localSheetId="6" hidden="1">'Form 3C-Public Education Fund'!$A$1:$I$18</definedName>
    <definedName name="Z_C62F0798_8D9A_4210_8C49_488FC36F0E32_.wvu.PrintArea" localSheetId="6" hidden="1">'Form 3C-Public Education Fund'!$A$1:$I$18</definedName>
    <definedName name="Z_CB9E35AD_2586_4FE2_B6D0_7B46D802E2B1_.wvu.PrintArea" localSheetId="6" hidden="1">'Form 3C-Public Education Fund'!$A$1:$I$18</definedName>
    <definedName name="Z_D4547790_7D29_4580_8805_744EA37FDC19_.wvu.PrintArea" localSheetId="6" hidden="1">'Form 3C-Public Education Fund'!$A$1:$I$18</definedName>
  </definedNames>
  <calcPr calcId="145621"/>
</workbook>
</file>

<file path=xl/calcChain.xml><?xml version="1.0" encoding="utf-8"?>
<calcChain xmlns="http://schemas.openxmlformats.org/spreadsheetml/2006/main">
  <c r="K34" i="22" l="1"/>
  <c r="K32" i="22"/>
  <c r="J32" i="22"/>
  <c r="K31" i="22"/>
  <c r="J31" i="22"/>
  <c r="K17" i="1" l="1"/>
  <c r="K16" i="1"/>
  <c r="K18" i="1"/>
  <c r="G18" i="1"/>
  <c r="G16" i="1"/>
  <c r="G11" i="1"/>
  <c r="G9" i="1"/>
  <c r="K38" i="2" l="1"/>
  <c r="K20" i="1" l="1"/>
  <c r="G20" i="1"/>
  <c r="G17" i="1"/>
  <c r="K15" i="1"/>
  <c r="G15" i="1"/>
  <c r="K14" i="1" l="1"/>
  <c r="G14" i="1"/>
  <c r="K13" i="1"/>
  <c r="G13" i="1"/>
  <c r="K12" i="1"/>
  <c r="G12" i="1"/>
  <c r="K11" i="1"/>
  <c r="K10" i="1"/>
  <c r="G10" i="1"/>
  <c r="K9" i="1"/>
  <c r="K29" i="2" l="1"/>
  <c r="N21" i="2" l="1"/>
  <c r="K21" i="2"/>
  <c r="N20" i="2"/>
  <c r="K20" i="2"/>
  <c r="N19" i="2"/>
  <c r="K19" i="2"/>
  <c r="N18" i="2"/>
  <c r="K18" i="2"/>
  <c r="N17" i="2"/>
  <c r="K17" i="2"/>
  <c r="N16" i="2"/>
  <c r="K16" i="2"/>
  <c r="N15" i="2"/>
  <c r="K15" i="2"/>
  <c r="N14" i="2"/>
  <c r="K14" i="2"/>
  <c r="N13" i="2"/>
  <c r="M13" i="2"/>
  <c r="K13" i="2"/>
  <c r="N12" i="2"/>
  <c r="K12" i="2"/>
  <c r="N11" i="2"/>
  <c r="K11" i="2"/>
  <c r="M45" i="2" l="1"/>
  <c r="O12" i="7" l="1"/>
  <c r="O14" i="7"/>
  <c r="O13" i="7"/>
  <c r="N43" i="23" l="1"/>
  <c r="R43" i="23" s="1"/>
  <c r="N42" i="23"/>
  <c r="R42" i="23" s="1"/>
  <c r="N41" i="23"/>
  <c r="R41" i="23" s="1"/>
  <c r="N40" i="23"/>
  <c r="R40" i="23" s="1"/>
  <c r="N39" i="23"/>
  <c r="R39" i="23" s="1"/>
  <c r="N38" i="23"/>
  <c r="R38" i="23" s="1"/>
  <c r="N37" i="23"/>
  <c r="R37" i="23" s="1"/>
  <c r="N36" i="23"/>
  <c r="R36" i="23" s="1"/>
  <c r="N29" i="23"/>
  <c r="R29" i="23" s="1"/>
  <c r="N28" i="23"/>
  <c r="R28" i="23" s="1"/>
  <c r="N27" i="23"/>
  <c r="R27" i="23" s="1"/>
  <c r="N26" i="23"/>
  <c r="R26" i="23" s="1"/>
  <c r="N25" i="23"/>
  <c r="R25" i="23" s="1"/>
  <c r="N24" i="23"/>
  <c r="R24" i="23" s="1"/>
  <c r="N23" i="23"/>
  <c r="R23" i="23" s="1"/>
  <c r="N22" i="23"/>
  <c r="R22" i="23" s="1"/>
  <c r="R21" i="23"/>
  <c r="N21" i="23"/>
  <c r="R20" i="23"/>
  <c r="N20" i="23"/>
  <c r="R19" i="23"/>
  <c r="N19" i="23"/>
  <c r="R18" i="23"/>
  <c r="N18" i="23"/>
  <c r="R17" i="23"/>
  <c r="N17" i="23"/>
  <c r="R16" i="23"/>
  <c r="N16" i="23"/>
  <c r="R15" i="23"/>
  <c r="N15" i="23"/>
  <c r="R14" i="23"/>
  <c r="N14" i="23"/>
  <c r="R13" i="23"/>
  <c r="N13" i="23"/>
  <c r="R12" i="23"/>
  <c r="N12" i="23"/>
  <c r="R11" i="23"/>
  <c r="N11" i="23"/>
  <c r="R10" i="23"/>
  <c r="N10" i="23"/>
  <c r="R9" i="23"/>
  <c r="N9" i="23"/>
  <c r="N65" i="2" l="1"/>
  <c r="N67" i="2"/>
  <c r="K65" i="2"/>
  <c r="N31" i="2"/>
  <c r="N32" i="2"/>
  <c r="N33" i="2"/>
  <c r="N34" i="2"/>
  <c r="N35" i="2"/>
  <c r="N36" i="2"/>
  <c r="N37" i="2"/>
  <c r="N38" i="2"/>
  <c r="N39" i="2"/>
  <c r="K31" i="2"/>
  <c r="K32" i="2"/>
  <c r="K33" i="2"/>
  <c r="K34" i="2"/>
  <c r="K35" i="2"/>
  <c r="K36" i="2"/>
  <c r="K37" i="2"/>
  <c r="K39" i="2"/>
  <c r="N30" i="2"/>
  <c r="K30" i="2"/>
  <c r="Q10" i="31" l="1"/>
  <c r="P10" i="31"/>
  <c r="F40" i="27"/>
  <c r="G39" i="27"/>
  <c r="G38" i="27"/>
  <c r="G37" i="27"/>
  <c r="G40" i="27" s="1"/>
  <c r="G36" i="27"/>
  <c r="G33" i="27"/>
  <c r="F33" i="27"/>
  <c r="C28" i="27"/>
  <c r="N26" i="27"/>
  <c r="M26" i="27"/>
  <c r="O22" i="27"/>
  <c r="N22" i="27"/>
  <c r="M22" i="27"/>
  <c r="O21" i="27"/>
  <c r="N21" i="27"/>
  <c r="M21" i="27"/>
  <c r="O20" i="27"/>
  <c r="N20" i="27"/>
  <c r="M20" i="27"/>
  <c r="O19" i="27"/>
  <c r="N19" i="27"/>
  <c r="M19" i="27"/>
  <c r="O18" i="27"/>
  <c r="N18" i="27"/>
  <c r="M18" i="27"/>
  <c r="O17" i="27"/>
  <c r="N17" i="27"/>
  <c r="M17" i="27"/>
  <c r="O16" i="27"/>
  <c r="N16" i="27"/>
  <c r="M16" i="27"/>
  <c r="O15" i="27"/>
  <c r="N15" i="27"/>
  <c r="M15" i="27"/>
  <c r="O14" i="27"/>
  <c r="G14" i="27"/>
  <c r="N14" i="27" s="1"/>
  <c r="F14" i="27"/>
  <c r="M14" i="27" s="1"/>
  <c r="O13" i="27"/>
  <c r="G13" i="27"/>
  <c r="N13" i="27" s="1"/>
  <c r="F13" i="27"/>
  <c r="M13" i="27" s="1"/>
  <c r="O12" i="27"/>
  <c r="O28" i="27" s="1"/>
  <c r="G12" i="27"/>
  <c r="G25" i="27" s="1"/>
  <c r="N25" i="27" s="1"/>
  <c r="F12" i="27"/>
  <c r="M12" i="27" l="1"/>
  <c r="N12" i="27"/>
  <c r="F24" i="27"/>
  <c r="M24" i="27" s="1"/>
  <c r="F25" i="27"/>
  <c r="M25" i="27" s="1"/>
  <c r="G24" i="27"/>
  <c r="N24" i="27" s="1"/>
  <c r="N64" i="2"/>
  <c r="K64" i="2"/>
  <c r="N28" i="27" l="1"/>
  <c r="F28" i="27"/>
  <c r="F42" i="27" s="1"/>
  <c r="F46" i="27" s="1"/>
  <c r="F47" i="27" s="1"/>
  <c r="G28" i="27"/>
  <c r="G42" i="27" s="1"/>
  <c r="G46" i="27" s="1"/>
  <c r="G47" i="27" s="1"/>
  <c r="M28" i="27"/>
  <c r="M46" i="2"/>
  <c r="M47" i="2"/>
  <c r="M48" i="2"/>
  <c r="M49" i="2"/>
  <c r="M50" i="2"/>
  <c r="M51" i="2"/>
  <c r="M52" i="2"/>
  <c r="M53" i="2"/>
  <c r="M54" i="2"/>
  <c r="M55" i="2"/>
  <c r="M56" i="2"/>
  <c r="M57" i="2"/>
  <c r="M58" i="2"/>
  <c r="M59" i="2"/>
  <c r="M60" i="2"/>
  <c r="M61" i="2"/>
  <c r="N46" i="2" l="1"/>
  <c r="N47" i="2"/>
  <c r="N48" i="2"/>
  <c r="N49" i="2"/>
  <c r="N50" i="2"/>
  <c r="N51" i="2"/>
  <c r="N52" i="2"/>
  <c r="N53" i="2"/>
  <c r="N54" i="2"/>
  <c r="N55" i="2"/>
  <c r="N56" i="2"/>
  <c r="N57" i="2"/>
  <c r="K46" i="2"/>
  <c r="K47" i="2"/>
  <c r="K48" i="2"/>
  <c r="K49" i="2"/>
  <c r="K50" i="2"/>
  <c r="K51" i="2"/>
  <c r="K52" i="2"/>
  <c r="K53" i="2"/>
  <c r="K54" i="2"/>
  <c r="K55" i="2"/>
  <c r="K56" i="2"/>
  <c r="K57" i="2"/>
  <c r="N22" i="2"/>
  <c r="N23" i="2"/>
  <c r="K22" i="2"/>
  <c r="K23" i="2"/>
  <c r="M12" i="7" l="1"/>
  <c r="M13" i="7"/>
  <c r="M14" i="7"/>
  <c r="O17" i="33" l="1"/>
  <c r="N17" i="33"/>
  <c r="M17" i="33"/>
  <c r="L17" i="33"/>
  <c r="O15" i="31" l="1"/>
  <c r="N15" i="31"/>
  <c r="M15" i="31"/>
  <c r="G44" i="24"/>
  <c r="F44" i="24"/>
  <c r="O14" i="30"/>
  <c r="Q10" i="30"/>
  <c r="N14" i="30" s="1"/>
  <c r="Q14" i="30" s="1"/>
  <c r="P10" i="30"/>
  <c r="M14" i="30" s="1"/>
  <c r="P14" i="30" s="1"/>
  <c r="P15" i="31" l="1"/>
  <c r="Q15" i="31"/>
  <c r="H41" i="26"/>
  <c r="G41" i="26"/>
  <c r="G37" i="26"/>
  <c r="H36" i="26"/>
  <c r="H35" i="26"/>
  <c r="G35" i="26"/>
  <c r="H34" i="26"/>
  <c r="H33" i="26"/>
  <c r="H37" i="26" s="1"/>
  <c r="D25" i="26"/>
  <c r="M24" i="26"/>
  <c r="M23" i="26"/>
  <c r="M21" i="26"/>
  <c r="L21" i="26"/>
  <c r="P21" i="26" s="1"/>
  <c r="H21" i="26"/>
  <c r="O21" i="26" s="1"/>
  <c r="G21" i="26"/>
  <c r="N21" i="26" s="1"/>
  <c r="F21" i="26"/>
  <c r="E21" i="26"/>
  <c r="H20" i="26"/>
  <c r="F20" i="26"/>
  <c r="E20" i="26"/>
  <c r="G20" i="26" s="1"/>
  <c r="N20" i="26" s="1"/>
  <c r="M19" i="26"/>
  <c r="L19" i="26"/>
  <c r="P19" i="26" s="1"/>
  <c r="F19" i="26"/>
  <c r="H19" i="26" s="1"/>
  <c r="O19" i="26" s="1"/>
  <c r="E19" i="26"/>
  <c r="G19" i="26" s="1"/>
  <c r="N19" i="26" s="1"/>
  <c r="M18" i="26"/>
  <c r="G18" i="26"/>
  <c r="N18" i="26" s="1"/>
  <c r="F18" i="26"/>
  <c r="H18" i="26" s="1"/>
  <c r="O18" i="26" s="1"/>
  <c r="E18" i="26"/>
  <c r="M17" i="26"/>
  <c r="L17" i="26"/>
  <c r="P17" i="26" s="1"/>
  <c r="H17" i="26"/>
  <c r="O17" i="26" s="1"/>
  <c r="G17" i="26"/>
  <c r="N17" i="26" s="1"/>
  <c r="F17" i="26"/>
  <c r="E17" i="26"/>
  <c r="M16" i="26"/>
  <c r="M20" i="26" s="1"/>
  <c r="L16" i="26"/>
  <c r="L20" i="26" s="1"/>
  <c r="P20" i="26" s="1"/>
  <c r="H16" i="26"/>
  <c r="O16" i="26" s="1"/>
  <c r="F16" i="26"/>
  <c r="E16" i="26"/>
  <c r="G16" i="26" s="1"/>
  <c r="N16" i="26" s="1"/>
  <c r="M15" i="26"/>
  <c r="L15" i="26"/>
  <c r="P15" i="26" s="1"/>
  <c r="F15" i="26"/>
  <c r="H15" i="26" s="1"/>
  <c r="O15" i="26" s="1"/>
  <c r="E15" i="26"/>
  <c r="G15" i="26" s="1"/>
  <c r="N15" i="26" s="1"/>
  <c r="M14" i="26"/>
  <c r="G14" i="26"/>
  <c r="N14" i="26" s="1"/>
  <c r="F14" i="26"/>
  <c r="H14" i="26" s="1"/>
  <c r="O14" i="26" s="1"/>
  <c r="E14" i="26"/>
  <c r="M13" i="26"/>
  <c r="L13" i="26"/>
  <c r="P13" i="26" s="1"/>
  <c r="H13" i="26"/>
  <c r="G13" i="26"/>
  <c r="F13" i="26"/>
  <c r="E13" i="26"/>
  <c r="M11" i="26"/>
  <c r="M12" i="26" s="1"/>
  <c r="L11" i="26"/>
  <c r="L12" i="26" s="1"/>
  <c r="P12" i="26" s="1"/>
  <c r="F11" i="26"/>
  <c r="F12" i="26" s="1"/>
  <c r="H12" i="26" s="1"/>
  <c r="O12" i="26" s="1"/>
  <c r="E11" i="26"/>
  <c r="G11" i="26" s="1"/>
  <c r="C22" i="25"/>
  <c r="B22" i="25"/>
  <c r="C15" i="25"/>
  <c r="B15" i="25"/>
  <c r="C13" i="25"/>
  <c r="C16" i="25" s="1"/>
  <c r="B13" i="25"/>
  <c r="B16" i="25" s="1"/>
  <c r="F40" i="24"/>
  <c r="G39" i="24"/>
  <c r="G38" i="24"/>
  <c r="G37" i="24"/>
  <c r="G40" i="24" s="1"/>
  <c r="G36" i="24"/>
  <c r="G33" i="24"/>
  <c r="F33" i="24"/>
  <c r="C28" i="24"/>
  <c r="N26" i="24"/>
  <c r="M26" i="24"/>
  <c r="O22" i="24"/>
  <c r="G22" i="24"/>
  <c r="N22" i="24" s="1"/>
  <c r="F22" i="24"/>
  <c r="M22" i="24" s="1"/>
  <c r="O21" i="24"/>
  <c r="M21" i="24"/>
  <c r="G21" i="24"/>
  <c r="N21" i="24" s="1"/>
  <c r="F21" i="24"/>
  <c r="O20" i="24"/>
  <c r="N20" i="24"/>
  <c r="M20" i="24"/>
  <c r="G20" i="24"/>
  <c r="F20" i="24"/>
  <c r="O19" i="24"/>
  <c r="N19" i="24"/>
  <c r="G19" i="24"/>
  <c r="F19" i="24"/>
  <c r="M19" i="24" s="1"/>
  <c r="O18" i="24"/>
  <c r="G18" i="24"/>
  <c r="N18" i="24" s="1"/>
  <c r="F18" i="24"/>
  <c r="M18" i="24" s="1"/>
  <c r="O17" i="24"/>
  <c r="M17" i="24"/>
  <c r="G17" i="24"/>
  <c r="N17" i="24" s="1"/>
  <c r="F17" i="24"/>
  <c r="O16" i="24"/>
  <c r="N16" i="24"/>
  <c r="M16" i="24"/>
  <c r="G16" i="24"/>
  <c r="F16" i="24"/>
  <c r="O15" i="24"/>
  <c r="N15" i="24"/>
  <c r="G15" i="24"/>
  <c r="F15" i="24"/>
  <c r="M15" i="24" s="1"/>
  <c r="O14" i="24"/>
  <c r="O28" i="24" s="1"/>
  <c r="G14" i="24"/>
  <c r="N14" i="24" s="1"/>
  <c r="F14" i="24"/>
  <c r="M14" i="24" s="1"/>
  <c r="O13" i="24"/>
  <c r="M13" i="24"/>
  <c r="G13" i="24"/>
  <c r="G25" i="24" s="1"/>
  <c r="N25" i="24" s="1"/>
  <c r="F13" i="24"/>
  <c r="O12" i="24"/>
  <c r="N12" i="24"/>
  <c r="M12" i="24"/>
  <c r="G12" i="24"/>
  <c r="F12" i="24"/>
  <c r="B25" i="25" l="1"/>
  <c r="C25" i="25"/>
  <c r="G24" i="26"/>
  <c r="N24" i="26" s="1"/>
  <c r="H24" i="26"/>
  <c r="O24" i="26" s="1"/>
  <c r="N11" i="26"/>
  <c r="O20" i="26"/>
  <c r="E12" i="26"/>
  <c r="G12" i="26" s="1"/>
  <c r="N12" i="26" s="1"/>
  <c r="H11" i="26"/>
  <c r="L14" i="26"/>
  <c r="P14" i="26" s="1"/>
  <c r="L18" i="26"/>
  <c r="P18" i="26" s="1"/>
  <c r="G23" i="26"/>
  <c r="N23" i="26" s="1"/>
  <c r="P11" i="26"/>
  <c r="P25" i="26" s="1"/>
  <c r="N13" i="26"/>
  <c r="H23" i="26"/>
  <c r="O23" i="26" s="1"/>
  <c r="O13" i="26"/>
  <c r="P16" i="26"/>
  <c r="N28" i="24"/>
  <c r="F24" i="24"/>
  <c r="M24" i="24" s="1"/>
  <c r="M28" i="24" s="1"/>
  <c r="F25" i="24"/>
  <c r="M25" i="24" s="1"/>
  <c r="N13" i="24"/>
  <c r="G24" i="24"/>
  <c r="N24" i="24" s="1"/>
  <c r="J33" i="22"/>
  <c r="K33" i="22" s="1"/>
  <c r="J30" i="22"/>
  <c r="K30" i="22" s="1"/>
  <c r="J29" i="22"/>
  <c r="K29" i="22" s="1"/>
  <c r="J18" i="22"/>
  <c r="K18" i="22" s="1"/>
  <c r="J17" i="22"/>
  <c r="K17" i="22" s="1"/>
  <c r="J21" i="22"/>
  <c r="K21" i="22" s="1"/>
  <c r="J20" i="22"/>
  <c r="K20" i="22" s="1"/>
  <c r="J19" i="22"/>
  <c r="K19" i="22" s="1"/>
  <c r="H29" i="26" l="1"/>
  <c r="G29" i="26"/>
  <c r="N25" i="26"/>
  <c r="G28" i="26" s="1"/>
  <c r="G30" i="26" s="1"/>
  <c r="H25" i="26"/>
  <c r="H39" i="26" s="1"/>
  <c r="H43" i="26" s="1"/>
  <c r="H44" i="26" s="1"/>
  <c r="O11" i="26"/>
  <c r="O25" i="26" s="1"/>
  <c r="H28" i="26" s="1"/>
  <c r="H30" i="26" s="1"/>
  <c r="G25" i="26"/>
  <c r="G39" i="26" s="1"/>
  <c r="G43" i="26" s="1"/>
  <c r="G44" i="26" s="1"/>
  <c r="F28" i="24"/>
  <c r="F42" i="24" s="1"/>
  <c r="F46" i="24" s="1"/>
  <c r="F47" i="24" s="1"/>
  <c r="G28" i="24"/>
  <c r="G42" i="24" s="1"/>
  <c r="G46" i="24" s="1"/>
  <c r="G47" i="24" s="1"/>
  <c r="K22" i="22"/>
  <c r="T43" i="16"/>
  <c r="Q43" i="16"/>
  <c r="P43" i="16"/>
  <c r="M43" i="16"/>
  <c r="W42" i="16"/>
  <c r="U42" i="16"/>
  <c r="S42" i="16"/>
  <c r="O42" i="16"/>
  <c r="W41" i="16"/>
  <c r="U41" i="16"/>
  <c r="S41" i="16"/>
  <c r="V41" i="16" s="1"/>
  <c r="O41" i="16"/>
  <c r="W40" i="16"/>
  <c r="U40" i="16"/>
  <c r="S40" i="16"/>
  <c r="V40" i="16" s="1"/>
  <c r="O40" i="16"/>
  <c r="W39" i="16"/>
  <c r="U39" i="16"/>
  <c r="S39" i="16"/>
  <c r="O39" i="16"/>
  <c r="W38" i="16"/>
  <c r="U38" i="16"/>
  <c r="S38" i="16"/>
  <c r="O38" i="16"/>
  <c r="W37" i="16"/>
  <c r="U37" i="16"/>
  <c r="S37" i="16"/>
  <c r="V37" i="16" s="1"/>
  <c r="O37" i="16"/>
  <c r="W36" i="16"/>
  <c r="U36" i="16"/>
  <c r="S36" i="16"/>
  <c r="V36" i="16" s="1"/>
  <c r="O36" i="16"/>
  <c r="W35" i="16"/>
  <c r="U35" i="16"/>
  <c r="S35" i="16"/>
  <c r="O35" i="16"/>
  <c r="W34" i="16"/>
  <c r="U34" i="16"/>
  <c r="S34" i="16"/>
  <c r="O34" i="16"/>
  <c r="W33" i="16"/>
  <c r="U33" i="16"/>
  <c r="S33" i="16"/>
  <c r="V33" i="16" s="1"/>
  <c r="O33" i="16"/>
  <c r="W32" i="16"/>
  <c r="U32" i="16"/>
  <c r="S32" i="16"/>
  <c r="V32" i="16" s="1"/>
  <c r="O32" i="16"/>
  <c r="W31" i="16"/>
  <c r="U31" i="16"/>
  <c r="S31" i="16"/>
  <c r="O31" i="16"/>
  <c r="W30" i="16"/>
  <c r="U30" i="16"/>
  <c r="S30" i="16"/>
  <c r="O30" i="16"/>
  <c r="W29" i="16"/>
  <c r="U29" i="16"/>
  <c r="S29" i="16"/>
  <c r="O29" i="16"/>
  <c r="W28" i="16"/>
  <c r="W43" i="16" s="1"/>
  <c r="U28" i="16"/>
  <c r="U43" i="16" s="1"/>
  <c r="S28" i="16"/>
  <c r="O28" i="16"/>
  <c r="O43" i="16" s="1"/>
  <c r="T23" i="16"/>
  <c r="Q23" i="16"/>
  <c r="P23" i="16"/>
  <c r="M23" i="16"/>
  <c r="W22" i="16"/>
  <c r="U22" i="16"/>
  <c r="S22" i="16"/>
  <c r="V22" i="16" s="1"/>
  <c r="O22" i="16"/>
  <c r="W21" i="16"/>
  <c r="U21" i="16"/>
  <c r="S21" i="16"/>
  <c r="V21" i="16" s="1"/>
  <c r="O21" i="16"/>
  <c r="W20" i="16"/>
  <c r="U20" i="16"/>
  <c r="S20" i="16"/>
  <c r="O20" i="16"/>
  <c r="W19" i="16"/>
  <c r="U19" i="16"/>
  <c r="S19" i="16"/>
  <c r="O19" i="16"/>
  <c r="W18" i="16"/>
  <c r="U18" i="16"/>
  <c r="S18" i="16"/>
  <c r="V18" i="16" s="1"/>
  <c r="O18" i="16"/>
  <c r="W17" i="16"/>
  <c r="U17" i="16"/>
  <c r="S17" i="16"/>
  <c r="V17" i="16" s="1"/>
  <c r="O17" i="16"/>
  <c r="W16" i="16"/>
  <c r="U16" i="16"/>
  <c r="S16" i="16"/>
  <c r="V16" i="16" s="1"/>
  <c r="O16" i="16"/>
  <c r="W15" i="16"/>
  <c r="U15" i="16"/>
  <c r="S15" i="16"/>
  <c r="V15" i="16" s="1"/>
  <c r="O15" i="16"/>
  <c r="W14" i="16"/>
  <c r="U14" i="16"/>
  <c r="S14" i="16"/>
  <c r="V14" i="16" s="1"/>
  <c r="O14" i="16"/>
  <c r="W13" i="16"/>
  <c r="U13" i="16"/>
  <c r="S13" i="16"/>
  <c r="V13" i="16" s="1"/>
  <c r="O13" i="16"/>
  <c r="W12" i="16"/>
  <c r="U12" i="16"/>
  <c r="S12" i="16"/>
  <c r="V12" i="16" s="1"/>
  <c r="O12" i="16"/>
  <c r="W11" i="16"/>
  <c r="U11" i="16"/>
  <c r="S11" i="16"/>
  <c r="V11" i="16" s="1"/>
  <c r="O11" i="16"/>
  <c r="W10" i="16"/>
  <c r="U10" i="16"/>
  <c r="S10" i="16"/>
  <c r="V10" i="16" s="1"/>
  <c r="O10" i="16"/>
  <c r="W9" i="16"/>
  <c r="U9" i="16"/>
  <c r="S9" i="16"/>
  <c r="O9" i="16"/>
  <c r="W8" i="16"/>
  <c r="U8" i="16"/>
  <c r="S8" i="16"/>
  <c r="V8" i="16" s="1"/>
  <c r="O8" i="16"/>
  <c r="W7" i="16"/>
  <c r="W23" i="16" s="1"/>
  <c r="U7" i="16"/>
  <c r="U23" i="16" s="1"/>
  <c r="S7" i="16"/>
  <c r="S23" i="16" s="1"/>
  <c r="O7" i="16"/>
  <c r="T51" i="14"/>
  <c r="Q51" i="14"/>
  <c r="P51" i="14"/>
  <c r="M51" i="14"/>
  <c r="W50" i="14"/>
  <c r="U50" i="14"/>
  <c r="S50" i="14"/>
  <c r="O50" i="14"/>
  <c r="W49" i="14"/>
  <c r="U49" i="14"/>
  <c r="S49" i="14"/>
  <c r="O49" i="14"/>
  <c r="W48" i="14"/>
  <c r="U48" i="14"/>
  <c r="S48" i="14"/>
  <c r="O48" i="14"/>
  <c r="W47" i="14"/>
  <c r="U47" i="14"/>
  <c r="S47" i="14"/>
  <c r="O47" i="14"/>
  <c r="W46" i="14"/>
  <c r="U46" i="14"/>
  <c r="S46" i="14"/>
  <c r="V46" i="14" s="1"/>
  <c r="O46" i="14"/>
  <c r="W45" i="14"/>
  <c r="U45" i="14"/>
  <c r="S45" i="14"/>
  <c r="V45" i="14" s="1"/>
  <c r="O45" i="14"/>
  <c r="W44" i="14"/>
  <c r="U44" i="14"/>
  <c r="S44" i="14"/>
  <c r="V44" i="14" s="1"/>
  <c r="O44" i="14"/>
  <c r="W43" i="14"/>
  <c r="U43" i="14"/>
  <c r="S43" i="14"/>
  <c r="V43" i="14" s="1"/>
  <c r="O43" i="14"/>
  <c r="W42" i="14"/>
  <c r="U42" i="14"/>
  <c r="S42" i="14"/>
  <c r="V42" i="14" s="1"/>
  <c r="O42" i="14"/>
  <c r="W41" i="14"/>
  <c r="U41" i="14"/>
  <c r="S41" i="14"/>
  <c r="O41" i="14"/>
  <c r="W40" i="14"/>
  <c r="U40" i="14"/>
  <c r="S40" i="14"/>
  <c r="O40" i="14"/>
  <c r="W39" i="14"/>
  <c r="U39" i="14"/>
  <c r="S39" i="14"/>
  <c r="O39" i="14"/>
  <c r="W38" i="14"/>
  <c r="U38" i="14"/>
  <c r="S38" i="14"/>
  <c r="O38" i="14"/>
  <c r="W37" i="14"/>
  <c r="U37" i="14"/>
  <c r="S37" i="14"/>
  <c r="O37" i="14"/>
  <c r="W36" i="14"/>
  <c r="U36" i="14"/>
  <c r="S36" i="14"/>
  <c r="O36" i="14"/>
  <c r="W35" i="14"/>
  <c r="U35" i="14"/>
  <c r="S35" i="14"/>
  <c r="O35" i="14"/>
  <c r="W34" i="14"/>
  <c r="U34" i="14"/>
  <c r="S34" i="14"/>
  <c r="O34" i="14"/>
  <c r="W33" i="14"/>
  <c r="U33" i="14"/>
  <c r="S33" i="14"/>
  <c r="O33" i="14"/>
  <c r="W32" i="14"/>
  <c r="W51" i="14" s="1"/>
  <c r="U32" i="14"/>
  <c r="S32" i="14"/>
  <c r="S51" i="14" s="1"/>
  <c r="O32" i="14"/>
  <c r="T26" i="14"/>
  <c r="Q26" i="14"/>
  <c r="P26" i="14"/>
  <c r="M26" i="14"/>
  <c r="W25" i="14"/>
  <c r="U25" i="14"/>
  <c r="S25" i="14"/>
  <c r="V25" i="14" s="1"/>
  <c r="O25" i="14"/>
  <c r="W24" i="14"/>
  <c r="U24" i="14"/>
  <c r="S24" i="14"/>
  <c r="V24" i="14" s="1"/>
  <c r="O24" i="14"/>
  <c r="W23" i="14"/>
  <c r="U23" i="14"/>
  <c r="S23" i="14"/>
  <c r="V23" i="14" s="1"/>
  <c r="O23" i="14"/>
  <c r="W22" i="14"/>
  <c r="U22" i="14"/>
  <c r="S22" i="14"/>
  <c r="V22" i="14" s="1"/>
  <c r="O22" i="14"/>
  <c r="W21" i="14"/>
  <c r="U21" i="14"/>
  <c r="S21" i="14"/>
  <c r="V21" i="14" s="1"/>
  <c r="O21" i="14"/>
  <c r="W20" i="14"/>
  <c r="U20" i="14"/>
  <c r="S20" i="14"/>
  <c r="V20" i="14" s="1"/>
  <c r="O20" i="14"/>
  <c r="W19" i="14"/>
  <c r="U19" i="14"/>
  <c r="S19" i="14"/>
  <c r="V19" i="14" s="1"/>
  <c r="O19" i="14"/>
  <c r="W18" i="14"/>
  <c r="U18" i="14"/>
  <c r="S18" i="14"/>
  <c r="V18" i="14" s="1"/>
  <c r="O18" i="14"/>
  <c r="W17" i="14"/>
  <c r="U17" i="14"/>
  <c r="S17" i="14"/>
  <c r="O17" i="14"/>
  <c r="W16" i="14"/>
  <c r="U16" i="14"/>
  <c r="S16" i="14"/>
  <c r="O16" i="14"/>
  <c r="W15" i="14"/>
  <c r="U15" i="14"/>
  <c r="S15" i="14"/>
  <c r="O15" i="14"/>
  <c r="W14" i="14"/>
  <c r="U14" i="14"/>
  <c r="S14" i="14"/>
  <c r="O14" i="14"/>
  <c r="W13" i="14"/>
  <c r="U13" i="14"/>
  <c r="S13" i="14"/>
  <c r="O13" i="14"/>
  <c r="W12" i="14"/>
  <c r="U12" i="14"/>
  <c r="S12" i="14"/>
  <c r="O12" i="14"/>
  <c r="W11" i="14"/>
  <c r="U11" i="14"/>
  <c r="S11" i="14"/>
  <c r="O11" i="14"/>
  <c r="W10" i="14"/>
  <c r="U10" i="14"/>
  <c r="S10" i="14"/>
  <c r="O10" i="14"/>
  <c r="W9" i="14"/>
  <c r="U9" i="14"/>
  <c r="S9" i="14"/>
  <c r="V9" i="14" s="1"/>
  <c r="O9" i="14"/>
  <c r="W8" i="14"/>
  <c r="U8" i="14"/>
  <c r="S8" i="14"/>
  <c r="V8" i="14" s="1"/>
  <c r="O8" i="14"/>
  <c r="W7" i="14"/>
  <c r="W26" i="14" s="1"/>
  <c r="U7" i="14"/>
  <c r="S7" i="14"/>
  <c r="S26" i="14" s="1"/>
  <c r="O7" i="14"/>
  <c r="O26" i="14" s="1"/>
  <c r="C23" i="12"/>
  <c r="B23" i="12"/>
  <c r="C14" i="12"/>
  <c r="B14" i="12"/>
  <c r="V35" i="14" l="1"/>
  <c r="V36" i="14"/>
  <c r="V37" i="14"/>
  <c r="V38" i="14"/>
  <c r="V39" i="14"/>
  <c r="V40" i="14"/>
  <c r="V41" i="14"/>
  <c r="U26" i="14"/>
  <c r="V34" i="14"/>
  <c r="V33" i="14"/>
  <c r="V47" i="14"/>
  <c r="V48" i="14"/>
  <c r="V49" i="14"/>
  <c r="V29" i="16"/>
  <c r="V19" i="16"/>
  <c r="V20" i="16"/>
  <c r="V31" i="16"/>
  <c r="V34" i="16"/>
  <c r="V35" i="16"/>
  <c r="V38" i="16"/>
  <c r="V39" i="16"/>
  <c r="V42" i="16"/>
  <c r="V50" i="14"/>
  <c r="V10" i="14"/>
  <c r="V11" i="14"/>
  <c r="V14" i="14"/>
  <c r="V15" i="14"/>
  <c r="O51" i="14"/>
  <c r="U51" i="14"/>
  <c r="S43" i="16"/>
  <c r="V30" i="16"/>
  <c r="V17" i="14"/>
  <c r="V32" i="14"/>
  <c r="V16" i="14"/>
  <c r="V13" i="14"/>
  <c r="V12" i="14"/>
  <c r="V7" i="14"/>
  <c r="V9" i="16"/>
  <c r="O23" i="16"/>
  <c r="V7" i="16"/>
  <c r="V28" i="16"/>
  <c r="V23" i="16" l="1"/>
  <c r="V26" i="14"/>
  <c r="V51" i="14"/>
  <c r="V43" i="16"/>
  <c r="L18" i="5"/>
  <c r="H18" i="5"/>
  <c r="E18" i="5"/>
  <c r="AY30" i="4"/>
  <c r="AX30" i="4"/>
  <c r="AW30" i="4"/>
  <c r="AV30" i="4"/>
  <c r="AU30" i="4"/>
  <c r="AD30" i="4"/>
  <c r="AC30" i="4"/>
  <c r="AY29" i="4"/>
  <c r="AX29" i="4"/>
  <c r="AW29" i="4"/>
  <c r="AV29" i="4"/>
  <c r="AU29" i="4"/>
  <c r="AT29" i="4"/>
  <c r="AS29" i="4"/>
  <c r="AR29" i="4"/>
  <c r="AQ29" i="4"/>
  <c r="AP29" i="4"/>
  <c r="AO29" i="4"/>
  <c r="AN29" i="4"/>
  <c r="AK29" i="4"/>
  <c r="AI29" i="4"/>
  <c r="AD29" i="4"/>
  <c r="AC29" i="4"/>
  <c r="AM28" i="4"/>
  <c r="AK28" i="4"/>
  <c r="AI28" i="4"/>
  <c r="AG28" i="4"/>
  <c r="AM27" i="4"/>
  <c r="AK27" i="4"/>
  <c r="AI27" i="4"/>
  <c r="AG27" i="4"/>
  <c r="AM26" i="4"/>
  <c r="AK26" i="4"/>
  <c r="AI26" i="4"/>
  <c r="AG26" i="4"/>
  <c r="AM25" i="4"/>
  <c r="AK25" i="4"/>
  <c r="AI25" i="4"/>
  <c r="AG25" i="4"/>
  <c r="AM24" i="4"/>
  <c r="AK24" i="4"/>
  <c r="AI24" i="4"/>
  <c r="AG24" i="4"/>
  <c r="AM23" i="4"/>
  <c r="AK23" i="4"/>
  <c r="AI23" i="4"/>
  <c r="AG23" i="4"/>
  <c r="AM22" i="4"/>
  <c r="AK22" i="4"/>
  <c r="AI22" i="4"/>
  <c r="AG22" i="4"/>
  <c r="AM21" i="4"/>
  <c r="AK21" i="4"/>
  <c r="AI21" i="4"/>
  <c r="AG21" i="4"/>
  <c r="AM20" i="4"/>
  <c r="AK20" i="4"/>
  <c r="AI20" i="4"/>
  <c r="AG20" i="4"/>
  <c r="AM19" i="4"/>
  <c r="AK19" i="4"/>
  <c r="AI19" i="4"/>
  <c r="AG19" i="4"/>
  <c r="AM18" i="4"/>
  <c r="AK18" i="4"/>
  <c r="AI18" i="4"/>
  <c r="AG18" i="4"/>
  <c r="AM17" i="4"/>
  <c r="AK17" i="4"/>
  <c r="AI17" i="4"/>
  <c r="AG17" i="4"/>
  <c r="AM16" i="4"/>
  <c r="AK16" i="4"/>
  <c r="AI16" i="4"/>
  <c r="AG16" i="4"/>
  <c r="AM15" i="4"/>
  <c r="AK15" i="4"/>
  <c r="AI15" i="4"/>
  <c r="AG15" i="4"/>
  <c r="AM14" i="4"/>
  <c r="AK14" i="4"/>
  <c r="AI14" i="4"/>
  <c r="AG14" i="4"/>
  <c r="AM13" i="4"/>
  <c r="AK13" i="4"/>
  <c r="AI13" i="4"/>
  <c r="AG13" i="4"/>
  <c r="AM12" i="4"/>
  <c r="AK12" i="4"/>
  <c r="AI12" i="4"/>
  <c r="AG12" i="4"/>
  <c r="AM11" i="4"/>
  <c r="AK11" i="4"/>
  <c r="AI11" i="4"/>
  <c r="AG11" i="4"/>
  <c r="AM10" i="4"/>
  <c r="AK10" i="4"/>
  <c r="AI10" i="4"/>
  <c r="AG10" i="4"/>
  <c r="AM9" i="4"/>
  <c r="AK9" i="4"/>
  <c r="AI9" i="4"/>
  <c r="AG9" i="4"/>
  <c r="AM8" i="4"/>
  <c r="AK8" i="4"/>
  <c r="AI8" i="4"/>
  <c r="AG8" i="4"/>
  <c r="AM7" i="4"/>
  <c r="AK7" i="4"/>
  <c r="AI7" i="4"/>
  <c r="AG7" i="4"/>
  <c r="AM6" i="4"/>
  <c r="AM30" i="4" s="1"/>
  <c r="AK6" i="4"/>
  <c r="AK30" i="4" s="1"/>
  <c r="AI6" i="4"/>
  <c r="AI30" i="4" s="1"/>
  <c r="AG6" i="4"/>
  <c r="AG30" i="4" s="1"/>
  <c r="N63" i="2"/>
  <c r="K63" i="2"/>
  <c r="N62" i="2"/>
  <c r="K62" i="2"/>
  <c r="N61" i="2"/>
  <c r="K61" i="2"/>
  <c r="N60" i="2"/>
  <c r="K60" i="2"/>
  <c r="N59" i="2"/>
  <c r="K59" i="2"/>
  <c r="N58" i="2"/>
  <c r="K58" i="2"/>
  <c r="N45" i="2"/>
  <c r="K45" i="2"/>
  <c r="N29" i="2"/>
  <c r="N28" i="2"/>
  <c r="K28" i="2"/>
  <c r="N27" i="2"/>
  <c r="K27" i="2"/>
  <c r="N26" i="2"/>
  <c r="K26" i="2"/>
  <c r="N25" i="2"/>
  <c r="K25" i="2"/>
  <c r="N24" i="2"/>
  <c r="K24" i="2"/>
  <c r="AM29" i="4" l="1"/>
  <c r="AG29" i="4"/>
</calcChain>
</file>

<file path=xl/comments1.xml><?xml version="1.0" encoding="utf-8"?>
<comments xmlns="http://schemas.openxmlformats.org/spreadsheetml/2006/main">
  <authors>
    <author>Administrator</author>
  </authors>
  <commentList>
    <comment ref="I4" authorId="0">
      <text>
        <r>
          <rPr>
            <b/>
            <sz val="9"/>
            <color indexed="81"/>
            <rFont val="Tahoma"/>
            <family val="2"/>
          </rPr>
          <t>Administrator:</t>
        </r>
        <r>
          <rPr>
            <sz val="9"/>
            <color indexed="81"/>
            <rFont val="Tahoma"/>
            <family val="2"/>
          </rPr>
          <t xml:space="preserve">
Will be provided in January </t>
        </r>
      </text>
    </comment>
    <comment ref="I5" authorId="0">
      <text>
        <r>
          <rPr>
            <b/>
            <sz val="9"/>
            <color indexed="81"/>
            <rFont val="Tahoma"/>
            <family val="2"/>
          </rPr>
          <t>Administrator:</t>
        </r>
        <r>
          <rPr>
            <sz val="9"/>
            <color indexed="81"/>
            <rFont val="Tahoma"/>
            <family val="2"/>
          </rPr>
          <t xml:space="preserve">
Will be provided in January</t>
        </r>
      </text>
    </comment>
  </commentList>
</comments>
</file>

<file path=xl/comments2.xml><?xml version="1.0" encoding="utf-8"?>
<comments xmlns="http://schemas.openxmlformats.org/spreadsheetml/2006/main">
  <authors>
    <author>Sarah Anders</author>
  </authors>
  <commentList>
    <comment ref="G24" authorId="0">
      <text>
        <r>
          <rPr>
            <b/>
            <sz val="8"/>
            <color indexed="81"/>
            <rFont val="Tahoma"/>
            <family val="2"/>
          </rPr>
          <t>Note:</t>
        </r>
        <r>
          <rPr>
            <sz val="8"/>
            <color indexed="81"/>
            <rFont val="Tahoma"/>
            <family val="2"/>
          </rPr>
          <t xml:space="preserve"> formula assumes ALL job classes are eligible for premium pay.  If that is incorrect, adjust formula to only sum the salaries of applicable job classes.</t>
        </r>
      </text>
    </comment>
    <comment ref="A26" authorId="0">
      <text>
        <r>
          <rPr>
            <sz val="8"/>
            <color indexed="81"/>
            <rFont val="Tahoma"/>
            <family val="2"/>
          </rPr>
          <t>If overtime is received, use formula:
low/high salary (column F/G) for applicable job class(es) x 1.5 x (# overtime hrs in PPD/80).</t>
        </r>
      </text>
    </comment>
    <comment ref="A27" authorId="0">
      <text>
        <r>
          <rPr>
            <sz val="8"/>
            <color indexed="81"/>
            <rFont val="Tahoma"/>
            <family val="2"/>
          </rPr>
          <t>Ex. Uniform allowance.</t>
        </r>
      </text>
    </comment>
    <comment ref="G31" authorId="0">
      <text>
        <r>
          <rPr>
            <sz val="8"/>
            <color indexed="81"/>
            <rFont val="Tahoma"/>
            <family val="2"/>
          </rPr>
          <t>Enter estimated fringe benefit costs here.  These will be recalculated once the Controller's Office inputs fringe rates above.</t>
        </r>
      </text>
    </comment>
    <comment ref="A36" authorId="0">
      <text>
        <r>
          <rPr>
            <sz val="8"/>
            <color indexed="81"/>
            <rFont val="Tahoma"/>
            <family val="2"/>
          </rPr>
          <t>Include any estimated capital costs (for ex. any materials, supplies, or other equipment) and any other costs not included above.</t>
        </r>
      </text>
    </comment>
  </commentList>
</comments>
</file>

<file path=xl/comments3.xml><?xml version="1.0" encoding="utf-8"?>
<comments xmlns="http://schemas.openxmlformats.org/spreadsheetml/2006/main">
  <authors>
    <author>Sarah Anders</author>
  </authors>
  <commentList>
    <comment ref="J5" authorId="0">
      <text>
        <r>
          <rPr>
            <sz val="8"/>
            <color indexed="81"/>
            <rFont val="Tahoma"/>
            <family val="2"/>
          </rPr>
          <t>Usually yes.</t>
        </r>
      </text>
    </comment>
    <comment ref="M9" authorId="0">
      <text>
        <r>
          <rPr>
            <sz val="8"/>
            <color indexed="81"/>
            <rFont val="Tahoma"/>
            <family val="2"/>
          </rPr>
          <t>Can be partial FTE.</t>
        </r>
      </text>
    </comment>
  </commentList>
</comments>
</file>

<file path=xl/comments4.xml><?xml version="1.0" encoding="utf-8"?>
<comments xmlns="http://schemas.openxmlformats.org/spreadsheetml/2006/main">
  <authors>
    <author>Sarah Anders</author>
  </authors>
  <commentList>
    <comment ref="G24" authorId="0">
      <text>
        <r>
          <rPr>
            <b/>
            <sz val="8"/>
            <color indexed="81"/>
            <rFont val="Tahoma"/>
            <family val="2"/>
          </rPr>
          <t>Note:</t>
        </r>
        <r>
          <rPr>
            <sz val="8"/>
            <color indexed="81"/>
            <rFont val="Tahoma"/>
            <family val="2"/>
          </rPr>
          <t xml:space="preserve"> formula assumes ALL job classes are eligible for premium pay.  If that is incorrect, adjust formula to only sum the salaries of applicable job classes.</t>
        </r>
      </text>
    </comment>
    <comment ref="A26" authorId="0">
      <text>
        <r>
          <rPr>
            <sz val="8"/>
            <color indexed="81"/>
            <rFont val="Tahoma"/>
            <family val="2"/>
          </rPr>
          <t>If overtime is received, use formula:
low/high salary (column F/G) for applicable job class(es) x 1.5 x (# overtime hrs in PPD/80).</t>
        </r>
      </text>
    </comment>
    <comment ref="A27" authorId="0">
      <text>
        <r>
          <rPr>
            <sz val="8"/>
            <color indexed="81"/>
            <rFont val="Tahoma"/>
            <family val="2"/>
          </rPr>
          <t>Ex. Uniform allowance.</t>
        </r>
      </text>
    </comment>
    <comment ref="G31" authorId="0">
      <text>
        <r>
          <rPr>
            <sz val="8"/>
            <color indexed="81"/>
            <rFont val="Tahoma"/>
            <family val="2"/>
          </rPr>
          <t>Enter estimated fringe benefit costs here.  These will be recalculated once the Controller's Office inputs fringe rates above.</t>
        </r>
      </text>
    </comment>
    <comment ref="A36" authorId="0">
      <text>
        <r>
          <rPr>
            <sz val="8"/>
            <color indexed="81"/>
            <rFont val="Tahoma"/>
            <family val="2"/>
          </rPr>
          <t>Include any estimated capital costs (for ex. any materials, supplies, or other equipment) and any other costs not included above.</t>
        </r>
      </text>
    </comment>
  </commentList>
</comments>
</file>

<file path=xl/comments5.xml><?xml version="1.0" encoding="utf-8"?>
<comments xmlns="http://schemas.openxmlformats.org/spreadsheetml/2006/main">
  <authors>
    <author>Sarah Anders</author>
  </authors>
  <commentList>
    <comment ref="J5" authorId="0">
      <text>
        <r>
          <rPr>
            <sz val="8"/>
            <color indexed="81"/>
            <rFont val="Tahoma"/>
            <family val="2"/>
          </rPr>
          <t>Usually yes.</t>
        </r>
      </text>
    </comment>
    <comment ref="M9" authorId="0">
      <text>
        <r>
          <rPr>
            <sz val="8"/>
            <color indexed="81"/>
            <rFont val="Tahoma"/>
            <family val="2"/>
          </rPr>
          <t>Can be partial FTE.</t>
        </r>
      </text>
    </comment>
  </commentList>
</comments>
</file>

<file path=xl/comments6.xml><?xml version="1.0" encoding="utf-8"?>
<comments xmlns="http://schemas.openxmlformats.org/spreadsheetml/2006/main">
  <authors>
    <author>Controller Accounting Ops. Co</author>
  </authors>
  <commentList>
    <comment ref="B12" authorId="0">
      <text>
        <r>
          <rPr>
            <b/>
            <sz val="8"/>
            <color indexed="81"/>
            <rFont val="Tahoma"/>
            <family val="2"/>
          </rPr>
          <t xml:space="preserve">Controller Accounting Ops. Co:
</t>
        </r>
        <r>
          <rPr>
            <sz val="8"/>
            <color indexed="81"/>
            <rFont val="Tahoma"/>
            <family val="2"/>
          </rPr>
          <t>salary "tied" 80% of transit operator</t>
        </r>
      </text>
    </comment>
  </commentList>
</comments>
</file>

<file path=xl/sharedStrings.xml><?xml version="1.0" encoding="utf-8"?>
<sst xmlns="http://schemas.openxmlformats.org/spreadsheetml/2006/main" count="1921" uniqueCount="871">
  <si>
    <t xml:space="preserve">BUDGET FORM 1A: Table Summary of Major Budget Changes </t>
  </si>
  <si>
    <t>DEPARTMENT NAME:</t>
  </si>
  <si>
    <t xml:space="preserve">Please identify major changes in department budget submission including increased investments and/or reductions made to achieve budget target.  </t>
  </si>
  <si>
    <t xml:space="preserve">Major General Fund-Related Changes </t>
  </si>
  <si>
    <t>Program Code</t>
  </si>
  <si>
    <t>Program Title</t>
  </si>
  <si>
    <t>FY2012-13 General Fund Uses</t>
  </si>
  <si>
    <t>FY2012-13 FTE</t>
  </si>
  <si>
    <t>FY2013-14 General Fund Uses</t>
  </si>
  <si>
    <t>FY2013-14 FTE</t>
  </si>
  <si>
    <t>Change in GF Uses in 
FY2013-14</t>
  </si>
  <si>
    <t>Change in GF FTEs in 
FY2013-14</t>
  </si>
  <si>
    <t>FY2014-15 
General Fund Uses</t>
  </si>
  <si>
    <t xml:space="preserve">FY2014-15 FTE </t>
  </si>
  <si>
    <t xml:space="preserve">Change in GF Uses in FY2014-15  </t>
  </si>
  <si>
    <t>Change in FTEs in 
FY 2014-15</t>
  </si>
  <si>
    <t>Explanation of Increase or Reduction and Resulting Service Impact. Please note whether the reduction is On-going or One-time.</t>
  </si>
  <si>
    <t xml:space="preserve">Non General Fund-Related Changes </t>
  </si>
  <si>
    <t>Program Code/Fund</t>
  </si>
  <si>
    <t>FY2012-13 Non General Fund Uses</t>
  </si>
  <si>
    <t>FY 2013-14 
Non General Fund Uses</t>
  </si>
  <si>
    <t xml:space="preserve">Change in Non GF Uses in FY 2013-14
(year over year) </t>
  </si>
  <si>
    <t>Change in FTEs in 
FY 2013-14</t>
  </si>
  <si>
    <t>FY2014-15 
Non General Fund Uses</t>
  </si>
  <si>
    <t xml:space="preserve">Change in Non GF Uses in FY 2014-15 
(year over year) </t>
  </si>
  <si>
    <t>BUDGET FORM 3A: Program Expenditure Report</t>
  </si>
  <si>
    <t xml:space="preserve">Please identify proposed changes in expenditures from the FY 2011-12 base budget at the object level. </t>
  </si>
  <si>
    <r>
      <t>Note</t>
    </r>
    <r>
      <rPr>
        <sz val="11"/>
        <rFont val="Arial"/>
        <family val="2"/>
      </rPr>
      <t xml:space="preserve">: To submit this information, please run the </t>
    </r>
    <r>
      <rPr>
        <b/>
        <sz val="11"/>
        <rFont val="Arial"/>
        <family val="2"/>
      </rPr>
      <t xml:space="preserve">15.40.005 </t>
    </r>
    <r>
      <rPr>
        <sz val="11"/>
        <rFont val="Arial"/>
        <family val="2"/>
      </rPr>
      <t xml:space="preserve">and </t>
    </r>
    <r>
      <rPr>
        <b/>
        <sz val="11"/>
        <rFont val="Arial"/>
        <family val="2"/>
      </rPr>
      <t>15.40.006</t>
    </r>
    <r>
      <rPr>
        <sz val="11"/>
        <rFont val="Arial"/>
        <family val="2"/>
      </rPr>
      <t xml:space="preserve"> reports from the budget system and fill in the column for the explanation of change.</t>
    </r>
  </si>
  <si>
    <t>Please contact your Mayor's Office or Controller's Office Analyst if you need assistance running this report.</t>
  </si>
  <si>
    <t>All submissions must be formatted appropriately so that printed copies are easily readable for the public.</t>
  </si>
  <si>
    <t>Budget System Report 15.40.005 Expenditures (at Object Level)</t>
  </si>
  <si>
    <t>FILL IN</t>
  </si>
  <si>
    <t>GFS</t>
  </si>
  <si>
    <t>Subfund</t>
  </si>
  <si>
    <t>Program</t>
  </si>
  <si>
    <t>Char</t>
  </si>
  <si>
    <t>Object</t>
  </si>
  <si>
    <t>Object Title</t>
  </si>
  <si>
    <t>FY 2012-13 Orig Budget</t>
  </si>
  <si>
    <t>FY 2013-14 Base Budget</t>
  </si>
  <si>
    <t>FY 2013-14 Dept Proposed</t>
  </si>
  <si>
    <t>Change from FY 2013-14 Base Budget</t>
  </si>
  <si>
    <t>FY 2014-15 Base Budget</t>
  </si>
  <si>
    <t>FY 2014-15 Dept Proposed</t>
  </si>
  <si>
    <t>Change from FY 2014-15 Base Budget</t>
  </si>
  <si>
    <t>Explanation of Change for each Budget Year</t>
  </si>
  <si>
    <t>Budget System Report 15.40.006 Work Order Requests and Recoveries (at Subobject Level)</t>
  </si>
  <si>
    <t>Subobject</t>
  </si>
  <si>
    <t>Subobject Title</t>
  </si>
  <si>
    <t xml:space="preserve">Budget Form 3B: Budgeted Expenditures for Children's Programs  </t>
  </si>
  <si>
    <t xml:space="preserve">DEPARTMENT NAME: </t>
  </si>
  <si>
    <t>Uses of Funds</t>
  </si>
  <si>
    <t>Source of Funds</t>
  </si>
  <si>
    <t>Budget Year (FY2013-14 or FY2014-15)</t>
  </si>
  <si>
    <t>Program Name</t>
  </si>
  <si>
    <t>Service Category</t>
  </si>
  <si>
    <t>FAMIS Program</t>
  </si>
  <si>
    <t>Index Code</t>
  </si>
  <si>
    <t>Prevention / Intervention</t>
  </si>
  <si>
    <t xml:space="preserve">Total Program Budget </t>
  </si>
  <si>
    <t>Total Program Budget
 (0-17)</t>
  </si>
  <si>
    <t>Total N</t>
  </si>
  <si>
    <t>Proportion Assumption (0-5)</t>
  </si>
  <si>
    <t>Program Budget 
(0-5)</t>
  </si>
  <si>
    <t>Proportion 
Assumption (6-10)</t>
  </si>
  <si>
    <t>Program Budget 
(6-10)</t>
  </si>
  <si>
    <t>Proportion Assumption (11-13)</t>
  </si>
  <si>
    <t>Program Budget 
(11-13)</t>
  </si>
  <si>
    <t>Proportion Assumption (14-17)</t>
  </si>
  <si>
    <t>Program Budget 
(14-17)</t>
  </si>
  <si>
    <t>Program Budget (18-24)</t>
  </si>
  <si>
    <t>Proportion Assumption (18-24)</t>
  </si>
  <si>
    <t>General Fund</t>
  </si>
  <si>
    <t>Baseline - FAL</t>
  </si>
  <si>
    <t>Children's Fund</t>
  </si>
  <si>
    <t>State Fund</t>
  </si>
  <si>
    <t>Other Fund</t>
  </si>
  <si>
    <t>FY 12-13</t>
  </si>
  <si>
    <t>TOTALS</t>
  </si>
  <si>
    <t>FY 13-14</t>
  </si>
  <si>
    <t>NOTES:</t>
  </si>
  <si>
    <t xml:space="preserve">1)  The information shown above should be based on each department's budget submission for 2013-14 and 2014-15 </t>
  </si>
  <si>
    <t>2)  Requesting departments should show work order spending on their spreadsheet based on the source of funds.</t>
  </si>
  <si>
    <t>3)  Only DCYF should show program spending under the Children's Fund column.</t>
  </si>
  <si>
    <t>4)  Each department's total for Baseline-FAL should match the Baseline information tracked by the Controller's Office.  Changes from what is currently shown as Baseline spending by the Controller's Office should be highlighted.</t>
  </si>
  <si>
    <t>5)  If a program has more than source of funding, separate rows will be required for each funding source.</t>
  </si>
  <si>
    <t>COLUMN EXPLANATIONS:</t>
  </si>
  <si>
    <r>
      <t>Program Name</t>
    </r>
    <r>
      <rPr>
        <sz val="10"/>
        <rFont val="Arial"/>
        <family val="2"/>
      </rPr>
      <t xml:space="preserve"> - List the name used within your department to describe the program.</t>
    </r>
  </si>
  <si>
    <r>
      <t xml:space="preserve">Ages Served - </t>
    </r>
    <r>
      <rPr>
        <sz val="10"/>
        <rFont val="Arial"/>
        <family val="2"/>
      </rPr>
      <t>Indicate ages of children and youth served by the named program.  Age range should be between 0 to 17 years old.</t>
    </r>
  </si>
  <si>
    <r>
      <t>Service Category</t>
    </r>
    <r>
      <rPr>
        <sz val="10"/>
        <rFont val="Arial"/>
        <family val="2"/>
      </rPr>
      <t xml:space="preserve"> - Use the drop down menu to select the category that most closely matches the program based on the description provided for each category.  Please contact DCYF if you are having difficulties categorizing a program.</t>
    </r>
  </si>
  <si>
    <r>
      <t>FAMIS Program</t>
    </r>
    <r>
      <rPr>
        <sz val="10"/>
        <rFont val="Arial"/>
        <family val="2"/>
      </rPr>
      <t xml:space="preserve"> - List the Program Code used in FAMIS for the source of program funding listed in each row.</t>
    </r>
  </si>
  <si>
    <r>
      <t>Index Code</t>
    </r>
    <r>
      <rPr>
        <sz val="10"/>
        <rFont val="Arial"/>
        <family val="2"/>
      </rPr>
      <t xml:space="preserve"> - List the index code for the program funding listed in each row.  You may list multiple index codes on one row as long as they have the same Program Code and Source of Funding.</t>
    </r>
  </si>
  <si>
    <r>
      <t>Total Program Budget</t>
    </r>
    <r>
      <rPr>
        <sz val="10"/>
        <rFont val="Arial"/>
        <family val="2"/>
      </rPr>
      <t xml:space="preserve"> - List the total amount budgeted for the program from this source of funding.</t>
    </r>
  </si>
  <si>
    <r>
      <t>Proportion Assumption</t>
    </r>
    <r>
      <rPr>
        <sz val="10"/>
        <rFont val="Arial"/>
        <family val="2"/>
      </rPr>
      <t xml:space="preserve"> - List the proportional percentage you are using to decide how much of the Total Program Budget is related to children ages 0-17.  If the amount listed under Total Program Budget is all spent on children, type 100 into this field.</t>
    </r>
  </si>
  <si>
    <r>
      <t>Program Budget</t>
    </r>
    <r>
      <rPr>
        <sz val="10"/>
        <rFont val="Arial"/>
        <family val="2"/>
      </rPr>
      <t xml:space="preserve"> - This is automatically calculated by multiplying the Total Program Budget times the Proportion Assumption for each age category</t>
    </r>
  </si>
  <si>
    <r>
      <t>Source of Funds Columns</t>
    </r>
    <r>
      <rPr>
        <sz val="10"/>
        <rFont val="Arial"/>
        <family val="2"/>
      </rPr>
      <t xml:space="preserve"> - Contact DCYF if you have questions about how particular program funding should be categorized.  Please use a separate sheet of paper to provide the specific funding source for any funding listed in the Other column.</t>
    </r>
  </si>
  <si>
    <t>Budget Form 3C: Public Education Enrichment Fund</t>
  </si>
  <si>
    <t>Budget FY 2012-13</t>
  </si>
  <si>
    <t>Proposed FY 2013-14</t>
  </si>
  <si>
    <t>Proposed FY 2014-15</t>
  </si>
  <si>
    <t>Project/Service Name</t>
  </si>
  <si>
    <t>Description of Project/Service</t>
  </si>
  <si>
    <t>Amount</t>
  </si>
  <si>
    <t>Type of Support: A, B, or C
(See Footnote)</t>
  </si>
  <si>
    <r>
      <rPr>
        <b/>
        <i/>
        <sz val="10"/>
        <rFont val="Arial"/>
        <family val="2"/>
      </rPr>
      <t>SAMPLE:</t>
    </r>
    <r>
      <rPr>
        <sz val="10"/>
        <rFont val="Arial"/>
        <family val="2"/>
      </rPr>
      <t xml:space="preserve"> Elementary Music and Arts</t>
    </r>
  </si>
  <si>
    <t xml:space="preserve">Provides music instruction in flute, clarinet, trumpet and violin to 4th and 5th grade students in elementary schools. </t>
  </si>
  <si>
    <t>A</t>
  </si>
  <si>
    <t>Type of Support</t>
  </si>
  <si>
    <r>
      <rPr>
        <b/>
        <sz val="10"/>
        <rFont val="Arial"/>
        <family val="2"/>
      </rPr>
      <t>A. Department Direct Support</t>
    </r>
    <r>
      <rPr>
        <sz val="10"/>
        <rFont val="Arial"/>
        <family val="2"/>
      </rPr>
      <t>: cash or grant provided directly to SFUSD to fund the listed project or service.</t>
    </r>
  </si>
  <si>
    <r>
      <rPr>
        <b/>
        <sz val="10"/>
        <rFont val="Arial"/>
        <family val="2"/>
      </rPr>
      <t>B. Department-provided In-kind Support</t>
    </r>
    <r>
      <rPr>
        <sz val="10"/>
        <rFont val="Arial"/>
        <family val="2"/>
      </rPr>
      <t>: in-kind (non-cash) support provided directly by Department to SFUSD for the listed project or service.</t>
    </r>
  </si>
  <si>
    <r>
      <rPr>
        <b/>
        <sz val="10"/>
        <rFont val="Arial"/>
        <family val="2"/>
      </rPr>
      <t>C. Department-funded In-kind Support</t>
    </r>
    <r>
      <rPr>
        <sz val="10"/>
        <rFont val="Arial"/>
        <family val="2"/>
      </rPr>
      <t xml:space="preserve">: project or service funded by Department but provided/delivered to SFUSD by a third party.  </t>
    </r>
  </si>
  <si>
    <t>BUDGET FORM 1B: BUDGET BOOK GRAPHS</t>
  </si>
  <si>
    <t>GRAPH 1</t>
  </si>
  <si>
    <t>GRAPH 2</t>
  </si>
  <si>
    <t>Department:</t>
  </si>
  <si>
    <t>Title:</t>
  </si>
  <si>
    <t>Type of Graph (Line, Pie, Bar, etc.):</t>
  </si>
  <si>
    <t>Bar Chart</t>
  </si>
  <si>
    <t>Caption/Description:</t>
  </si>
  <si>
    <t>Data:</t>
  </si>
  <si>
    <t>Fiscal Year</t>
  </si>
  <si>
    <t>BUDGET FORM 2A: Revenue Report</t>
  </si>
  <si>
    <t>Please identify proposed revenue changes from the FY 2011-12 Adopted Budget (AAO) and the FY 2012-13 Department Proposed Budget at the program and subobject level.</t>
  </si>
  <si>
    <r>
      <t>Note</t>
    </r>
    <r>
      <rPr>
        <sz val="11"/>
        <rFont val="Arial"/>
        <family val="2"/>
      </rPr>
      <t xml:space="preserve">: To submit this information, run the </t>
    </r>
    <r>
      <rPr>
        <b/>
        <sz val="11"/>
        <rFont val="Arial"/>
        <family val="2"/>
      </rPr>
      <t>15.40.007</t>
    </r>
    <r>
      <rPr>
        <sz val="11"/>
        <rFont val="Arial"/>
        <family val="2"/>
      </rPr>
      <t xml:space="preserve"> report from the budget system. For any proposed changes, fill in the columns for FY 2010-11 Actuals, FY 2011-12 Projection and the </t>
    </r>
  </si>
  <si>
    <t>explanation of change.</t>
  </si>
  <si>
    <t>Budget System Report 15.40.007</t>
  </si>
  <si>
    <t>Obj</t>
  </si>
  <si>
    <t>Sobj</t>
  </si>
  <si>
    <t>Change from FY 2012-13 Budget</t>
  </si>
  <si>
    <t>Revenue Description &amp; Explanation of Change</t>
  </si>
  <si>
    <t>Budget Form 2B: Schedule of Licenses, Permits, Fines &amp; Service Charges</t>
  </si>
  <si>
    <t>DEPARTMENT:</t>
  </si>
  <si>
    <t>CPI Adjustment</t>
  </si>
  <si>
    <t>Yes</t>
  </si>
  <si>
    <t>No</t>
  </si>
  <si>
    <t>Item</t>
  </si>
  <si>
    <t>Fee Status C/M/N</t>
  </si>
  <si>
    <t>Description</t>
  </si>
  <si>
    <t>Code Authorization</t>
  </si>
  <si>
    <t>Auto CPI Adjust Yes/No</t>
  </si>
  <si>
    <t>Subobj</t>
  </si>
  <si>
    <t>Index</t>
  </si>
  <si>
    <t>FY 2012-13 Units (Est.)</t>
  </si>
  <si>
    <t>FY 2012-13 Cost Recovery (Est.)</t>
  </si>
  <si>
    <t>Unit Basis (eg. per sq ft/)</t>
  </si>
  <si>
    <t>FY 2013-14 Fee **</t>
  </si>
  <si>
    <t>FY 2013-14 Units (Est.)</t>
  </si>
  <si>
    <t>FY 2013-14 Revenue Proposed</t>
  </si>
  <si>
    <t>FY 2013-14 Cost Recovery (Est.)</t>
  </si>
  <si>
    <t>Fiscal Year of Last Increase</t>
  </si>
  <si>
    <t>Fee Prior to Last Increase</t>
  </si>
  <si>
    <t>Fee Status:</t>
  </si>
  <si>
    <t>C - Continuing</t>
  </si>
  <si>
    <t>M - Modified</t>
  </si>
  <si>
    <t>N - New</t>
  </si>
  <si>
    <t>Note:</t>
  </si>
  <si>
    <t>FY 2011-12 Actual</t>
  </si>
  <si>
    <t>FY 2012-13 Projected</t>
  </si>
  <si>
    <t>Change from FY 2013-14 Budget</t>
  </si>
  <si>
    <t>Form 5: Technology Plan and Project Proposals</t>
  </si>
  <si>
    <t>BUDGET FORM 8: Local Legislative Changes Including Fee Changes Assumed in Submission</t>
  </si>
  <si>
    <t>Description of Local Legislation</t>
  </si>
  <si>
    <t>Includes Fee (Yes/No)</t>
  </si>
  <si>
    <t>City Attorney Contact</t>
  </si>
  <si>
    <t>TOTAL</t>
  </si>
  <si>
    <t>FY 2013-14</t>
  </si>
  <si>
    <t>Annualized FY 2014-15 
Revenue Increase/ (Decrease) 
or Expenditure Savings/(Cost)</t>
  </si>
  <si>
    <t>Resulting FY 2013-14
Revenue Increase/ (Decrease) 
or Expenditure Savings/(Cost)</t>
  </si>
  <si>
    <t>FY 2014-15</t>
  </si>
  <si>
    <t>Resulting FY 2014-15 
Revenue Increase/ (Decrease) 
or Expenditure Savings/(Cost)</t>
  </si>
  <si>
    <t>Annualized FY 2015-16 
Revenue Increase/ (Decrease) 
or Expenditure Savings/(Cost)</t>
  </si>
  <si>
    <t>Affirmation</t>
  </si>
  <si>
    <t>Please indicate if you have no legislation in the box at the top of the form.</t>
  </si>
  <si>
    <t>"x" if affirmation is true</t>
  </si>
  <si>
    <r>
      <t xml:space="preserve">My department does </t>
    </r>
    <r>
      <rPr>
        <b/>
        <sz val="11"/>
        <rFont val="Arial"/>
        <family val="2"/>
      </rPr>
      <t>not</t>
    </r>
    <r>
      <rPr>
        <sz val="11"/>
        <rFont val="Arial"/>
        <family val="2"/>
      </rPr>
      <t xml:space="preserve"> require any legislation to be filed with either year's budget.</t>
    </r>
  </si>
  <si>
    <t xml:space="preserve">Changes 
(year over year) </t>
  </si>
  <si>
    <t>Contractor Name</t>
  </si>
  <si>
    <t>Non-Profit (Y/N)</t>
  </si>
  <si>
    <t>RFP in FY11-12 (Y/N)</t>
  </si>
  <si>
    <t>Brief Service/ Product Description</t>
  </si>
  <si>
    <t>Fund</t>
  </si>
  <si>
    <t>Type of Unit (e.g. licenses, widgets, etc.)</t>
  </si>
  <si>
    <t># Units</t>
  </si>
  <si>
    <t xml:space="preserve">Contract Term  </t>
  </si>
  <si>
    <t>Original Budget Amount (A)</t>
  </si>
  <si>
    <t>% GFS</t>
  </si>
  <si>
    <t xml:space="preserve">Total GF Support (C) </t>
  </si>
  <si>
    <t>Total Contract Hours</t>
  </si>
  <si>
    <t>Proposed Budget Amount (B)</t>
  </si>
  <si>
    <t>Total GF Support (D)</t>
  </si>
  <si>
    <t>Net Change Total             (B - A)</t>
  </si>
  <si>
    <t>Net Change GFS           (D - C)</t>
  </si>
  <si>
    <t>Change Contract Hours</t>
  </si>
  <si>
    <t>Brief Explanation of Service Impact</t>
  </si>
  <si>
    <t>Start (MM/DD/YY)</t>
  </si>
  <si>
    <t>End (MM/DD/YY)</t>
  </si>
  <si>
    <t>Total # Years</t>
  </si>
  <si>
    <t>FY 2013-14 Changes - Contract Description</t>
  </si>
  <si>
    <t>Proposed FY 2013-14 
Contractor Data</t>
  </si>
  <si>
    <t>Changes</t>
  </si>
  <si>
    <t>Subobject*</t>
  </si>
  <si>
    <t>* For ICT contracts list one of the Subobjects below to capture all IT related appropriations and expenditures:</t>
  </si>
  <si>
    <t>02761</t>
  </si>
  <si>
    <t>Systems Consulting Services</t>
  </si>
  <si>
    <t>04921</t>
  </si>
  <si>
    <t>Data Processing Supplies</t>
  </si>
  <si>
    <t>02911</t>
  </si>
  <si>
    <t>DP/WP (Data Processing/Word Processing) Equipment Maintenance</t>
  </si>
  <si>
    <t>04973</t>
  </si>
  <si>
    <t>Data Bases - Library Only</t>
  </si>
  <si>
    <t>03111</t>
  </si>
  <si>
    <t>Data Processing Equipment Rental</t>
  </si>
  <si>
    <t>06061</t>
  </si>
  <si>
    <t>Data Processing Equipment</t>
  </si>
  <si>
    <t>03596</t>
  </si>
  <si>
    <t>Software Licensing Fees</t>
  </si>
  <si>
    <t>06161</t>
  </si>
  <si>
    <t>Data Processing Equipment - Lease/Purchase-Initial</t>
  </si>
  <si>
    <t>FY 2012-13 Contractor Data</t>
  </si>
  <si>
    <t>FY 2013 - 2014 Changes - Contract Description</t>
  </si>
  <si>
    <t>Vehicle / Equipment # (to be assigned by Fleet Mgmt)</t>
  </si>
  <si>
    <t>City and County of San Francisco</t>
  </si>
  <si>
    <t>GSA Fleet Management - Central Shops</t>
  </si>
  <si>
    <t>Requisition # (if available by dept)</t>
  </si>
  <si>
    <t>SECTION A - CONTACT INFO</t>
  </si>
  <si>
    <t>DEPARTMENT</t>
  </si>
  <si>
    <t>DIVISION / OFFICE</t>
  </si>
  <si>
    <t>DEPT CODE</t>
  </si>
  <si>
    <t>FLEET COORDINATOR</t>
  </si>
  <si>
    <t>EMAIL ADDRESS</t>
  </si>
  <si>
    <t>OFFICE ADDRESS</t>
  </si>
  <si>
    <t>CITY / ZIP</t>
  </si>
  <si>
    <t>TELEPHONE</t>
  </si>
  <si>
    <t>SECTION B - VEHICLE PURCHASE INFO</t>
  </si>
  <si>
    <t>TYPE OF VEHICLE(S): YEAR, MAKE, MODEL, SPECIAL EQUIPMENT AND OTHER REQUIREMENTS.</t>
  </si>
  <si>
    <t>First Choice</t>
  </si>
  <si>
    <t>Second Choice</t>
  </si>
  <si>
    <t>INFO ON ACQUISITION (CHECK BOXES AND FILL IN BLANKS AS REQUIRED)</t>
  </si>
  <si>
    <t>3:  BUDGET NUMBER ________________________________           INDEX CODE (if applicable) ____________________________________</t>
  </si>
  <si>
    <t>5:  FUEL TYPE</t>
  </si>
  <si>
    <r>
      <t>o</t>
    </r>
    <r>
      <rPr>
        <sz val="8"/>
        <rFont val="Arial"/>
        <family val="2"/>
      </rPr>
      <t>GASOLINE</t>
    </r>
  </si>
  <si>
    <r>
      <t>o</t>
    </r>
    <r>
      <rPr>
        <sz val="8"/>
        <rFont val="Arial"/>
        <family val="2"/>
      </rPr>
      <t>DIESEL</t>
    </r>
  </si>
  <si>
    <r>
      <t>o</t>
    </r>
    <r>
      <rPr>
        <sz val="8"/>
        <rFont val="Arial"/>
        <family val="2"/>
      </rPr>
      <t>CNG</t>
    </r>
  </si>
  <si>
    <r>
      <t>o</t>
    </r>
    <r>
      <rPr>
        <sz val="8"/>
        <rFont val="Arial"/>
        <family val="2"/>
      </rPr>
      <t>HYBRID</t>
    </r>
  </si>
  <si>
    <r>
      <t>o</t>
    </r>
    <r>
      <rPr>
        <sz val="8"/>
        <rFont val="Arial"/>
        <family val="2"/>
      </rPr>
      <t>PROPANE</t>
    </r>
  </si>
  <si>
    <r>
      <t>o</t>
    </r>
    <r>
      <rPr>
        <sz val="8"/>
        <rFont val="Arial"/>
        <family val="2"/>
      </rPr>
      <t>ETHANOL</t>
    </r>
  </si>
  <si>
    <r>
      <t>o</t>
    </r>
    <r>
      <rPr>
        <sz val="8"/>
        <rFont val="Arial"/>
        <family val="2"/>
      </rPr>
      <t>OTHER ________________</t>
    </r>
  </si>
  <si>
    <r>
      <t xml:space="preserve">6:  VEHICLE SPECIFICATION     </t>
    </r>
    <r>
      <rPr>
        <sz val="8"/>
        <rFont val="Wingdings"/>
        <charset val="2"/>
      </rPr>
      <t>o</t>
    </r>
    <r>
      <rPr>
        <sz val="8"/>
        <rFont val="Arial"/>
        <family val="2"/>
      </rPr>
      <t xml:space="preserve">TERM CONTRACT          </t>
    </r>
    <r>
      <rPr>
        <sz val="8"/>
        <rFont val="Wingdings"/>
        <charset val="2"/>
      </rPr>
      <t>p</t>
    </r>
    <r>
      <rPr>
        <sz val="8"/>
        <rFont val="Arial"/>
        <family val="2"/>
      </rPr>
      <t xml:space="preserve">PRELIMINARY ATTACHED (or e-mail)         </t>
    </r>
    <r>
      <rPr>
        <sz val="8"/>
        <rFont val="Wingdings"/>
        <charset val="2"/>
      </rPr>
      <t>o</t>
    </r>
    <r>
      <rPr>
        <sz val="8"/>
        <rFont val="Arial"/>
        <family val="2"/>
      </rPr>
      <t>FINAL ATTACHED (or e-mail)</t>
    </r>
  </si>
  <si>
    <t>SECTION C - JUSTIFICATION</t>
  </si>
  <si>
    <t>EXPLAIN WHY A REPLACEMENT AND/OR NEW VEHICLE IS NECESSARY.</t>
  </si>
  <si>
    <t>EXPLAIN WHAT EFFORTS WERE TAKEN TO IDENTIFY ANOTHER UNDERUTILIZED VEHICLE.</t>
  </si>
  <si>
    <t>EXPLAIN THE NEGATIVE IMPACT IF THIS PURCHASE REQUEST IS DENIED.</t>
  </si>
  <si>
    <t>SECTION D - VEHICLE TO BE REPLACED (if applicable)</t>
  </si>
  <si>
    <t>CITY VEHICLE ID NUMBER</t>
  </si>
  <si>
    <t>LICENSE NUMBER</t>
  </si>
  <si>
    <t>YEAR</t>
  </si>
  <si>
    <t>MAKE</t>
  </si>
  <si>
    <t>MODEL</t>
  </si>
  <si>
    <t>MILES/HOURS</t>
  </si>
  <si>
    <t>SECTION E - REQUESTING DEPARTMENTAL SIGNATURES</t>
  </si>
  <si>
    <t>PREPARED BY</t>
  </si>
  <si>
    <t>DATE</t>
  </si>
  <si>
    <t>APPROVED BY</t>
  </si>
  <si>
    <t>TITLE</t>
  </si>
  <si>
    <t>SIGNATURE</t>
  </si>
  <si>
    <t>SECTION F - DEPARTMENT OF THE ENVIRONMENT CLEAN AIR VEHICLE WAIVER (if applicable)</t>
  </si>
  <si>
    <t>EXPLAIN WHY A CLEAN AIR WAIVER IS NECESSARY.</t>
  </si>
  <si>
    <t>DEPARTMENT HEAD</t>
  </si>
  <si>
    <t>SECTION G - FLEET MANAGEMENT DEPARTMENT USE ONLY</t>
  </si>
  <si>
    <t>REASON</t>
  </si>
  <si>
    <t>BY</t>
  </si>
  <si>
    <t>SECTION H - DEPARTMENT OF THE ENVIRONMENT USE ONLY</t>
  </si>
  <si>
    <t>Return completed form to Fleet Management - Central Shops</t>
  </si>
  <si>
    <t>fleet.purchase@sfgov.org            1800 Jerrold Ave., San Francisco, CA 94124 (415) 550-4600</t>
  </si>
  <si>
    <t>Dept. #</t>
  </si>
  <si>
    <t>Code</t>
  </si>
  <si>
    <t>Department Name</t>
  </si>
  <si>
    <t>Controller's Office</t>
  </si>
  <si>
    <t>Mayor's Office</t>
  </si>
  <si>
    <t>AAM</t>
  </si>
  <si>
    <t>Asian Art Museum</t>
  </si>
  <si>
    <t>Theresa Kao</t>
  </si>
  <si>
    <t>Chanda Ikeda</t>
  </si>
  <si>
    <t>ADM-ADM</t>
  </si>
  <si>
    <t>General Services Agency - Administrative Svcs</t>
  </si>
  <si>
    <t>ADM-AGW</t>
  </si>
  <si>
    <t xml:space="preserve">   Admin. Services - Consumer Assurance</t>
  </si>
  <si>
    <t>ADM-ANC</t>
  </si>
  <si>
    <t xml:space="preserve">   Admin. Services - Animal Care &amp; Control</t>
  </si>
  <si>
    <t>ADM-CFM</t>
  </si>
  <si>
    <t xml:space="preserve">   Admin. Services - Convention Facilities</t>
  </si>
  <si>
    <t>ADM-CME</t>
  </si>
  <si>
    <t xml:space="preserve">   Admin. Services - Medical Examiner</t>
  </si>
  <si>
    <t>ADM-OCA</t>
  </si>
  <si>
    <t xml:space="preserve">   Admin. Services - Office of Contract Admin.</t>
  </si>
  <si>
    <t>ADP</t>
  </si>
  <si>
    <t>Adult Probation</t>
  </si>
  <si>
    <t>AIR</t>
  </si>
  <si>
    <t>Airport</t>
  </si>
  <si>
    <t>Antonio Guerra</t>
  </si>
  <si>
    <t>ART</t>
  </si>
  <si>
    <t>Arts Commission</t>
  </si>
  <si>
    <t>ASR</t>
  </si>
  <si>
    <t>Assessor/Recorder</t>
  </si>
  <si>
    <t>Drew Murrell</t>
  </si>
  <si>
    <t>Jessica Bullen</t>
  </si>
  <si>
    <t>BOS</t>
  </si>
  <si>
    <t>Board of Supervisors</t>
  </si>
  <si>
    <t>CAT</t>
  </si>
  <si>
    <t>City Attorney</t>
  </si>
  <si>
    <t>CFC</t>
  </si>
  <si>
    <t>Children &amp; Families Commission</t>
  </si>
  <si>
    <t>Risa Sandler</t>
  </si>
  <si>
    <t>CHF</t>
  </si>
  <si>
    <t>Children, Youth &amp; Their Families</t>
  </si>
  <si>
    <t>CON</t>
  </si>
  <si>
    <t>Controller</t>
  </si>
  <si>
    <t>CPC</t>
  </si>
  <si>
    <t>City Planning</t>
  </si>
  <si>
    <t>Leo Chyi</t>
  </si>
  <si>
    <t>CRT</t>
  </si>
  <si>
    <t>Superior Court</t>
  </si>
  <si>
    <t>CSC</t>
  </si>
  <si>
    <t>Civil Service Commission</t>
  </si>
  <si>
    <t>CSS</t>
  </si>
  <si>
    <t>Child Support Services</t>
  </si>
  <si>
    <t>DAT</t>
  </si>
  <si>
    <t>District Attorney</t>
  </si>
  <si>
    <t>DBI</t>
  </si>
  <si>
    <t>Department of Building Inspection</t>
  </si>
  <si>
    <t>DPH</t>
  </si>
  <si>
    <t>Department of Public Health</t>
  </si>
  <si>
    <t>Cindy Czerwin</t>
  </si>
  <si>
    <t>DPW</t>
  </si>
  <si>
    <t>General Services Agency - Public Works</t>
  </si>
  <si>
    <t>DSS-DSS</t>
  </si>
  <si>
    <t>Human Services Agency</t>
  </si>
  <si>
    <t>DSS-AGE</t>
  </si>
  <si>
    <t xml:space="preserve">   Human Services - Aging and Adult Services</t>
  </si>
  <si>
    <t>ECD</t>
  </si>
  <si>
    <t>Emergency Communications</t>
  </si>
  <si>
    <t>ECN</t>
  </si>
  <si>
    <t>Economic &amp; Workforce Development</t>
  </si>
  <si>
    <t>ENV</t>
  </si>
  <si>
    <t>Environment</t>
  </si>
  <si>
    <t>ETH</t>
  </si>
  <si>
    <t>Ethics Commission</t>
  </si>
  <si>
    <t>FAM</t>
  </si>
  <si>
    <t>Fine Arts Museum</t>
  </si>
  <si>
    <t>FIR</t>
  </si>
  <si>
    <t>Fire Department</t>
  </si>
  <si>
    <t>GEN</t>
  </si>
  <si>
    <t>General City Responsibility</t>
  </si>
  <si>
    <t>HRC</t>
  </si>
  <si>
    <t>Human Rights Commission</t>
  </si>
  <si>
    <t>HRD</t>
  </si>
  <si>
    <t>Human Resources</t>
  </si>
  <si>
    <t>HSS</t>
  </si>
  <si>
    <t>Health Service System</t>
  </si>
  <si>
    <t>JUV</t>
  </si>
  <si>
    <t>Juvenile Probation</t>
  </si>
  <si>
    <t>LIB</t>
  </si>
  <si>
    <t>Public Library</t>
  </si>
  <si>
    <t>LLB</t>
  </si>
  <si>
    <t>Law Library</t>
  </si>
  <si>
    <t>MTA-DPT</t>
  </si>
  <si>
    <t>Municipal Transportation Agency (MTA)</t>
  </si>
  <si>
    <t>MTA-PTC</t>
  </si>
  <si>
    <t>MTA - Parking and Traffic</t>
  </si>
  <si>
    <t>MYR</t>
  </si>
  <si>
    <t>Mayor</t>
  </si>
  <si>
    <t>PAB</t>
  </si>
  <si>
    <t>Board of Appeals</t>
  </si>
  <si>
    <t>PDR</t>
  </si>
  <si>
    <t>Public Defender</t>
  </si>
  <si>
    <t>POL</t>
  </si>
  <si>
    <t>Police Department</t>
  </si>
  <si>
    <t>PRT</t>
  </si>
  <si>
    <t>Port</t>
  </si>
  <si>
    <t>PUC-PUC</t>
  </si>
  <si>
    <t>Public Utilities Commission</t>
  </si>
  <si>
    <t>PUC-CWP</t>
  </si>
  <si>
    <t xml:space="preserve">   PUC - Clean Water</t>
  </si>
  <si>
    <t>PUC-HHP</t>
  </si>
  <si>
    <t xml:space="preserve">   PUC - Hetch Hetchy</t>
  </si>
  <si>
    <t>PUC-WTR</t>
  </si>
  <si>
    <t xml:space="preserve">   PUC - Water</t>
  </si>
  <si>
    <t>REC</t>
  </si>
  <si>
    <t>Recreation &amp; Park</t>
  </si>
  <si>
    <t>REG</t>
  </si>
  <si>
    <t>Elections</t>
  </si>
  <si>
    <t>RET</t>
  </si>
  <si>
    <t>Retirement System</t>
  </si>
  <si>
    <t>RNT</t>
  </si>
  <si>
    <t>Rent Arbitration Board</t>
  </si>
  <si>
    <t>SCI</t>
  </si>
  <si>
    <t>Academy of Sciences</t>
  </si>
  <si>
    <t>SHF</t>
  </si>
  <si>
    <t>Sheriff’s Department</t>
  </si>
  <si>
    <t>TIS</t>
  </si>
  <si>
    <t>General Services Agency - Technology</t>
  </si>
  <si>
    <t>TTX</t>
  </si>
  <si>
    <t>Treasurer / Tax Collector</t>
  </si>
  <si>
    <t>UNA</t>
  </si>
  <si>
    <t>General Fund Unallocated</t>
  </si>
  <si>
    <t>USD</t>
  </si>
  <si>
    <t>County Office of Education</t>
  </si>
  <si>
    <t>WAR</t>
  </si>
  <si>
    <t>War Memorial</t>
  </si>
  <si>
    <t>WOM</t>
  </si>
  <si>
    <t>Department on the Status of Women</t>
  </si>
  <si>
    <t>Mayor's Budget Office</t>
  </si>
  <si>
    <t>Controller's Budget Office</t>
  </si>
  <si>
    <t>Kate Howard</t>
  </si>
  <si>
    <t>(415) 554-6515</t>
  </si>
  <si>
    <t>Leo Levenson</t>
  </si>
  <si>
    <t>(415) 554-4809</t>
  </si>
  <si>
    <t>Michelle Allersma</t>
  </si>
  <si>
    <r>
      <t xml:space="preserve">(415) </t>
    </r>
    <r>
      <rPr>
        <sz val="8"/>
        <rFont val="Arial"/>
        <family val="2"/>
      </rPr>
      <t>554-4792</t>
    </r>
  </si>
  <si>
    <t>(415) 554-4796</t>
  </si>
  <si>
    <t>(415) 554-5247</t>
  </si>
  <si>
    <t>(415) 554-6253</t>
  </si>
  <si>
    <t>(415) 554-7647</t>
  </si>
  <si>
    <t>(415) 554-6486</t>
  </si>
  <si>
    <t>(415) 554-7663</t>
  </si>
  <si>
    <t>(415) 554-7535</t>
  </si>
  <si>
    <t>Antonia Guerra</t>
  </si>
  <si>
    <t>(415) 554-6617</t>
  </si>
  <si>
    <t>(415) 554-5253</t>
  </si>
  <si>
    <t>(415) 554-6125</t>
  </si>
  <si>
    <t>(415) 554-6216</t>
  </si>
  <si>
    <t>&lt;List any other comments or assumptions&gt;</t>
  </si>
  <si>
    <t>4.  Fixed fringe benefits consist of health and dental rates plus an estimate of dependent coverage.</t>
  </si>
  <si>
    <t>3.  Variable fringe benefits consist of Social Security, Medicare, employer retirement, employee retirement pick-up and long-term disability, where applicable.</t>
  </si>
  <si>
    <t>1.  FY XXXX would be/was the first year these services are/were contracted out.</t>
  </si>
  <si>
    <t xml:space="preserve"> </t>
  </si>
  <si>
    <t>Comments/Assumptions:</t>
  </si>
  <si>
    <t>% of Savings to City Cost</t>
  </si>
  <si>
    <t>ESTIMATED SAVINGS</t>
  </si>
  <si>
    <t>LESS:  ESTIMATED TOTAL CONTRACT COST</t>
  </si>
  <si>
    <t>ESTIMATED TOTAL CITY COST</t>
  </si>
  <si>
    <t>Total Capital &amp; Operating</t>
  </si>
  <si>
    <r>
      <t>ADDITIONAL CITY COSTS</t>
    </r>
    <r>
      <rPr>
        <sz val="10"/>
        <rFont val="Arial"/>
        <family val="2"/>
      </rPr>
      <t xml:space="preserve"> (if applicable)</t>
    </r>
  </si>
  <si>
    <t>Total Fringe Benefits</t>
  </si>
  <si>
    <r>
      <t>Fixed Fringes</t>
    </r>
    <r>
      <rPr>
        <sz val="8"/>
        <rFont val="Arial"/>
        <family val="2"/>
      </rPr>
      <t xml:space="preserve"> (4)</t>
    </r>
  </si>
  <si>
    <r>
      <t xml:space="preserve">Variable Fringes </t>
    </r>
    <r>
      <rPr>
        <sz val="8"/>
        <color indexed="8"/>
        <rFont val="Arial"/>
        <family val="2"/>
      </rPr>
      <t>(3)</t>
    </r>
  </si>
  <si>
    <t>FRINGE BENEFITS</t>
  </si>
  <si>
    <t>Total Salary Costs</t>
  </si>
  <si>
    <t>Other Pay (if applicable)</t>
  </si>
  <si>
    <t>n/a</t>
  </si>
  <si>
    <t>Overtime Pay (if applicable)</t>
  </si>
  <si>
    <t>Night / Shift Differential (if applicable)</t>
  </si>
  <si>
    <t>Holiday Pay (if applicable)</t>
  </si>
  <si>
    <t>N</t>
  </si>
  <si>
    <t>Y</t>
  </si>
  <si>
    <t>C</t>
  </si>
  <si>
    <t>S</t>
  </si>
  <si>
    <t>Fixed ($)</t>
  </si>
  <si>
    <t>Variable High ($)</t>
  </si>
  <si>
    <t>Variable Low ($)</t>
  </si>
  <si>
    <t>Variable Rate (%)</t>
  </si>
  <si>
    <t>Union</t>
  </si>
  <si>
    <t>Retirement Indicator</t>
  </si>
  <si>
    <t>High</t>
  </si>
  <si>
    <t>Low</t>
  </si>
  <si>
    <t>Bi-Weekly Rate</t>
  </si>
  <si>
    <t># of Full Time Equivalent Positions</t>
  </si>
  <si>
    <t>Class</t>
  </si>
  <si>
    <t>Job Class Title</t>
  </si>
  <si>
    <t>PROJECTED PERSONNEL COSTS</t>
  </si>
  <si>
    <t>Fringe Benefits:</t>
  </si>
  <si>
    <t>ESTIMATED CITY COSTS:</t>
  </si>
  <si>
    <t>To Be Completed by Controller's Office:</t>
  </si>
  <si>
    <r>
      <t xml:space="preserve">COMPARATIVE COSTS OF CONTRACTING VS. IN-HOUSE SERVICES </t>
    </r>
    <r>
      <rPr>
        <sz val="8"/>
        <rFont val="Arial"/>
        <family val="2"/>
      </rPr>
      <t xml:space="preserve"> (1) (2)</t>
    </r>
  </si>
  <si>
    <t>[CONTRACT DESCRIPTION]</t>
  </si>
  <si>
    <t>[DEPARTMENT], [DIVISION]</t>
  </si>
  <si>
    <t>Please Fill Out Highlighted Areas Only.</t>
  </si>
  <si>
    <t>FISCAL YEAR 2013-14</t>
  </si>
  <si>
    <t xml:space="preserve">PROP J ANALYSIS SUMMARY </t>
  </si>
  <si>
    <r>
      <t xml:space="preserve">City Cost, given that services </t>
    </r>
    <r>
      <rPr>
        <b/>
        <u/>
        <sz val="10"/>
        <rFont val="Arial"/>
        <family val="2"/>
      </rPr>
      <t xml:space="preserve">are not </t>
    </r>
    <r>
      <rPr>
        <b/>
        <sz val="10"/>
        <rFont val="Arial"/>
        <family val="2"/>
      </rPr>
      <t>contracted out</t>
    </r>
  </si>
  <si>
    <t xml:space="preserve">low range </t>
  </si>
  <si>
    <t xml:space="preserve">high range </t>
  </si>
  <si>
    <t xml:space="preserve">Total Annual Salary </t>
  </si>
  <si>
    <t xml:space="preserve">Total Other Pay </t>
  </si>
  <si>
    <t>Additional City Costs</t>
  </si>
  <si>
    <r>
      <t xml:space="preserve">Less: City Cost, given that services </t>
    </r>
    <r>
      <rPr>
        <b/>
        <u/>
        <sz val="10"/>
        <rFont val="Arial"/>
        <family val="2"/>
      </rPr>
      <t>are</t>
    </r>
    <r>
      <rPr>
        <b/>
        <sz val="10"/>
        <rFont val="Arial"/>
        <family val="2"/>
      </rPr>
      <t xml:space="preserve"> contracted out</t>
    </r>
  </si>
  <si>
    <t>Contract Cost</t>
  </si>
  <si>
    <t xml:space="preserve">Contract Monitoring  </t>
  </si>
  <si>
    <r>
      <t xml:space="preserve">City Savings from Contracting Out, </t>
    </r>
    <r>
      <rPr>
        <sz val="10"/>
        <color indexed="8"/>
        <rFont val="Arial"/>
        <family val="2"/>
      </rPr>
      <t>Savings/(Cost)</t>
    </r>
  </si>
  <si>
    <t xml:space="preserve">Departmental Contact </t>
  </si>
  <si>
    <t>Phone:</t>
  </si>
  <si>
    <t>Email:</t>
  </si>
  <si>
    <r>
      <rPr>
        <b/>
        <i/>
        <sz val="10"/>
        <color indexed="8"/>
        <rFont val="Arial"/>
        <family val="2"/>
      </rPr>
      <t>Contract Cost Contact</t>
    </r>
    <r>
      <rPr>
        <sz val="10"/>
        <color indexed="8"/>
        <rFont val="Arial"/>
        <family val="2"/>
      </rPr>
      <t>, if different from Department contact</t>
    </r>
  </si>
  <si>
    <t>MUNICIPAL TRANSPORTATION AGENCY</t>
  </si>
  <si>
    <t>PARATRANSIT SERVICES</t>
  </si>
  <si>
    <t>Transit Operators</t>
  </si>
  <si>
    <r>
      <t>Chauffeur</t>
    </r>
    <r>
      <rPr>
        <sz val="8"/>
        <rFont val="Arial"/>
        <family val="2"/>
      </rPr>
      <t xml:space="preserve">  (3)</t>
    </r>
  </si>
  <si>
    <t>Auto Mechanic Assistant Supervisor</t>
  </si>
  <si>
    <t>Auto Mechanic</t>
  </si>
  <si>
    <t>Auto Service Worker</t>
  </si>
  <si>
    <t>Transit Car Cleaner</t>
  </si>
  <si>
    <t>Transit Manager II</t>
  </si>
  <si>
    <t>Transit Manager I</t>
  </si>
  <si>
    <t>Transit Supervisor</t>
  </si>
  <si>
    <t>Senior Clerk Typist</t>
  </si>
  <si>
    <t>Senior Eligibility Worker</t>
  </si>
  <si>
    <t>Holiday Pay</t>
  </si>
  <si>
    <t>Night / Shift Differential</t>
  </si>
  <si>
    <r>
      <t xml:space="preserve">Variable Fringes </t>
    </r>
    <r>
      <rPr>
        <sz val="8"/>
        <color indexed="8"/>
        <rFont val="Arial"/>
        <family val="2"/>
      </rPr>
      <t>(4)</t>
    </r>
  </si>
  <si>
    <r>
      <t>Fixed Fringes</t>
    </r>
    <r>
      <rPr>
        <sz val="8"/>
        <rFont val="Arial"/>
        <family val="2"/>
      </rPr>
      <t xml:space="preserve"> (5)</t>
    </r>
  </si>
  <si>
    <r>
      <t>ADDITIONAL CITY COSTS</t>
    </r>
    <r>
      <rPr>
        <u/>
        <sz val="8"/>
        <rFont val="Arial"/>
        <family val="2"/>
      </rPr>
      <t xml:space="preserve"> (6)</t>
    </r>
  </si>
  <si>
    <t>200 Autos</t>
  </si>
  <si>
    <t>155 Vans</t>
  </si>
  <si>
    <t>364 2-Way Radios</t>
  </si>
  <si>
    <t>Claims</t>
  </si>
  <si>
    <r>
      <t xml:space="preserve">LESS:  ESTIMATED TOTAL CONTRACT COST </t>
    </r>
    <r>
      <rPr>
        <sz val="8"/>
        <rFont val="Arial"/>
        <family val="2"/>
      </rPr>
      <t>(7)</t>
    </r>
  </si>
  <si>
    <t>1.  FY 1983-84 was the first year these services were contracted out.</t>
  </si>
  <si>
    <t>5. Classification has been abolished; this analysis assumes the class would be reestablished with a compensation rate equivalent to related classes, estimated to be at 80% of the Transit Operator class.</t>
  </si>
  <si>
    <t>6.  Capital &amp; operating costs for vehicles has been estimated based upon IRS mileage standards.</t>
  </si>
  <si>
    <t>7.  The Estimated Contract Cost for annual service is based upon contractor's bid for services and contract monitoring costs.</t>
  </si>
  <si>
    <t>BUDGET FORM 4: Equipment Report and Request</t>
  </si>
  <si>
    <t xml:space="preserve">DOES THE DEPARTMENT'S BASE BUDGET SUBMISSION INCLUDE EQUIPMENT?  </t>
  </si>
  <si>
    <t xml:space="preserve">_____ YES    (if Yes, please complete Table 4B below)     _____ NO </t>
  </si>
  <si>
    <t>EQUIPMENT: Items that are $5,000 or more and have a useful life of three years or more. Items failing to meet either threshold should be budgeted in materials and supplies.</t>
  </si>
  <si>
    <t xml:space="preserve">TABLE 4A: GENERAL FUND EQUIPMENT REQUEST </t>
  </si>
  <si>
    <t>***NOTE ALL VEHICLE REQUESTS WILL BE VETTED BY FLEET MANAGEMENT AND THE DEPARTMENT OF THE ENVIRONMENT</t>
  </si>
  <si>
    <t xml:space="preserve">Departments that are making a General Fund equipment request that cannot be purchased within the proposed budget submission should complete this form.  </t>
  </si>
  <si>
    <t>Equipment numbers will be assigned after the Mayor's Budget Office finalizes citywide equipment allocations.  Enterprise departments do not need to complete this form.</t>
  </si>
  <si>
    <t>Please include installation costs (if applicable) in the budget request.</t>
  </si>
  <si>
    <t>Equipment requests that are part of a Technology Project Proposal should be included on Form 5 only.  Do not list the same equipment requests on Forms 4 and 5.</t>
  </si>
  <si>
    <t>Sales Tax:</t>
  </si>
  <si>
    <t>Priority #</t>
  </si>
  <si>
    <t>Equipment Item/Description</t>
  </si>
  <si>
    <t>New/
Replace</t>
  </si>
  <si>
    <t>Type (e.g. IT, Vehicle, Other)</t>
  </si>
  <si>
    <t>VIN
 (Of replaced vehicle)</t>
  </si>
  <si>
    <t>Number of Units</t>
  </si>
  <si>
    <t>Cost per Unit</t>
  </si>
  <si>
    <t>Total Cost</t>
  </si>
  <si>
    <t>Total Cost with Sales Tax</t>
  </si>
  <si>
    <t>Justifcation of Need</t>
  </si>
  <si>
    <t>GRAND TOTAL</t>
  </si>
  <si>
    <t>TABLE 4B: EQUIPMENT FUNDED IN OPERATING BUDGET</t>
  </si>
  <si>
    <t>Departments should only budget in subobjects 06000 through 06099</t>
  </si>
  <si>
    <t>NOTE: General Fund Departments may only use this table if they meet their reduction targets</t>
  </si>
  <si>
    <t>Equipment #</t>
  </si>
  <si>
    <t>VIN 
(Of replaced vehicle)</t>
  </si>
  <si>
    <t>Cost Per Unit</t>
  </si>
  <si>
    <t>Form 9: Capital Budget Request Form</t>
  </si>
  <si>
    <t>Inflation Factor for FY 2013-14 Fee Auto Increase as per Code Section **</t>
  </si>
  <si>
    <t>Inflation Factor for FY 2014-15 Fee Auto Increase as per Code Section **</t>
  </si>
  <si>
    <t>CPI will be updated in Jan. 2013. Call Controller's Budget Office to confirm CPI before submitting.</t>
  </si>
  <si>
    <t>FY 2012-13 Fee</t>
  </si>
  <si>
    <t>FY 2012-13 Revenue Budgeted</t>
  </si>
  <si>
    <t>FY 2014-15  Fee **</t>
  </si>
  <si>
    <t>FY 2014-15  Units (Est.)</t>
  </si>
  <si>
    <t>FY 2014-15  Revenue Proposed</t>
  </si>
  <si>
    <t>FY 2014-15 Cost Recovery (Est.)</t>
  </si>
  <si>
    <t>** If Auto CPI adjustment = Yes, FY 2013-14 and FY 2014-15 Fee will be automatically generated based on the inflation factor determined by the Controller.</t>
  </si>
  <si>
    <t xml:space="preserve">     If Auto CPI adjustment = No, FY 2013-14 and FY 2014-15 Fee will remain the same as previous year or entered by dept according to Code Authorization.</t>
  </si>
  <si>
    <t xml:space="preserve">placeholder - submitted online. See instructions document, Form 9 for details. </t>
  </si>
  <si>
    <t xml:space="preserve">placeholder - submitted online. See instructions document, Form 5 and Appendix E for details. </t>
  </si>
  <si>
    <t>2.  Salary levels reflect proposed salary rates effective July 1, 2013. Costs are represented as annual 12 month costs.</t>
  </si>
  <si>
    <t>FISCAL YEAR 2014-15</t>
  </si>
  <si>
    <t>2.  Salary levels reflect proposed salary rates effective July 1, 2014. Costs are represented as annual 12 month costs.</t>
  </si>
  <si>
    <t>For updated retirement rate information, please see Appendix A of the instructions document.</t>
  </si>
  <si>
    <t>Contract Cost Details</t>
  </si>
  <si>
    <t>Contract Monitoring Costs:</t>
  </si>
  <si>
    <t>Estimated Contract Cost:</t>
  </si>
  <si>
    <t>Does/would contract require monitoring? If yes, fill out the details below. If not, explain why.</t>
  </si>
  <si>
    <t>Salary:</t>
  </si>
  <si>
    <t>Contract Cost Calculation:</t>
  </si>
  <si>
    <t>Job Class</t>
  </si>
  <si>
    <t># of FTEs</t>
  </si>
  <si>
    <t>Biweekly Rate</t>
  </si>
  <si>
    <t xml:space="preserve">Low </t>
  </si>
  <si>
    <t>Please show all calculations made to estimate contract cost. Describe assumptions and source of data above.</t>
  </si>
  <si>
    <t>Benefits:</t>
  </si>
  <si>
    <t>Fixed * FTE ($)</t>
  </si>
  <si>
    <t>Total Fringe Low ($)</t>
  </si>
  <si>
    <t>Total Fringe High ($)</t>
  </si>
  <si>
    <r>
      <t xml:space="preserve">1. </t>
    </r>
    <r>
      <rPr>
        <b/>
        <u/>
        <sz val="10"/>
        <color indexed="8"/>
        <rFont val="Arial"/>
        <family val="2"/>
      </rPr>
      <t>List all assumptions</t>
    </r>
    <r>
      <rPr>
        <b/>
        <sz val="10"/>
        <color indexed="8"/>
        <rFont val="Arial"/>
        <family val="2"/>
      </rPr>
      <t xml:space="preserve"> made in calculating contract cost.</t>
    </r>
  </si>
  <si>
    <t>Include any private wage rates, population estimates, square footage estimates or other data used in calculating your contract cost.</t>
  </si>
  <si>
    <t>1)</t>
  </si>
  <si>
    <t>2)</t>
  </si>
  <si>
    <t>3)</t>
  </si>
  <si>
    <t>4)</t>
  </si>
  <si>
    <t>2. What is the source of data used to calculate the contract cost?</t>
  </si>
  <si>
    <t>3. What year is your data from?</t>
  </si>
  <si>
    <t>4. If contract cost is based on RFP, was the RFP for comparable services?  Was RFP for San Francisco?</t>
  </si>
  <si>
    <t>VEHICLE / EQUIPMENT ACQUISITION REQUEST</t>
  </si>
  <si>
    <t>Form #: FMCS 100 (revised 10/2012)</t>
  </si>
  <si>
    <r>
      <t xml:space="preserve">1:  TYPE OF PURCHASE     </t>
    </r>
    <r>
      <rPr>
        <sz val="8"/>
        <rFont val="Wingdings"/>
        <charset val="2"/>
      </rPr>
      <t>o</t>
    </r>
    <r>
      <rPr>
        <sz val="8"/>
        <rFont val="Arial"/>
        <family val="2"/>
      </rPr>
      <t xml:space="preserve">DEPT FUNDED          </t>
    </r>
    <r>
      <rPr>
        <sz val="8"/>
        <rFont val="Wingdings"/>
        <charset val="2"/>
      </rPr>
      <t>o</t>
    </r>
    <r>
      <rPr>
        <sz val="8"/>
        <rFont val="Arial"/>
        <family val="2"/>
      </rPr>
      <t xml:space="preserve">GSA-VEHICLE LEASING PROGRAM          </t>
    </r>
    <r>
      <rPr>
        <sz val="8"/>
        <rFont val="Wingdings"/>
        <charset val="2"/>
      </rPr>
      <t>o</t>
    </r>
    <r>
      <rPr>
        <sz val="8"/>
        <rFont val="Arial"/>
        <family val="2"/>
      </rPr>
      <t>OTHER ___________________________</t>
    </r>
  </si>
  <si>
    <r>
      <t xml:space="preserve">2:  SOURCE OF FUNDS     </t>
    </r>
    <r>
      <rPr>
        <sz val="8"/>
        <rFont val="Wingdings"/>
        <charset val="2"/>
      </rPr>
      <t>o</t>
    </r>
    <r>
      <rPr>
        <sz val="8"/>
        <rFont val="Arial"/>
        <family val="2"/>
      </rPr>
      <t xml:space="preserve">G/F (GENERAL FUND)          </t>
    </r>
    <r>
      <rPr>
        <sz val="8"/>
        <rFont val="Wingdings"/>
        <charset val="2"/>
      </rPr>
      <t>o</t>
    </r>
    <r>
      <rPr>
        <sz val="8"/>
        <rFont val="Arial"/>
        <family val="2"/>
      </rPr>
      <t xml:space="preserve">NON-G/F          </t>
    </r>
    <r>
      <rPr>
        <sz val="8"/>
        <rFont val="Wingdings"/>
        <charset val="2"/>
      </rPr>
      <t>o</t>
    </r>
    <r>
      <rPr>
        <sz val="8"/>
        <rFont val="Arial"/>
        <family val="2"/>
      </rPr>
      <t xml:space="preserve">GRANTS          </t>
    </r>
    <r>
      <rPr>
        <sz val="8"/>
        <rFont val="Wingdings"/>
        <charset val="2"/>
      </rPr>
      <t>o</t>
    </r>
    <r>
      <rPr>
        <sz val="8"/>
        <rFont val="Arial"/>
        <family val="2"/>
      </rPr>
      <t>OTHER ______________________________</t>
    </r>
  </si>
  <si>
    <r>
      <t xml:space="preserve">4:  PURPOSE     </t>
    </r>
    <r>
      <rPr>
        <sz val="8"/>
        <rFont val="Wingdings"/>
        <charset val="2"/>
      </rPr>
      <t>o</t>
    </r>
    <r>
      <rPr>
        <sz val="8"/>
        <rFont val="Arial"/>
        <family val="2"/>
      </rPr>
      <t xml:space="preserve">REPLACE EXISTING INVENTORY          </t>
    </r>
    <r>
      <rPr>
        <sz val="8"/>
        <rFont val="Wingdings"/>
        <charset val="2"/>
      </rPr>
      <t>o</t>
    </r>
    <r>
      <rPr>
        <sz val="8"/>
        <rFont val="Arial"/>
        <family val="2"/>
      </rPr>
      <t>ADD TO EXISTING          HOW MANY _________________________________</t>
    </r>
  </si>
  <si>
    <r>
      <t xml:space="preserve">APPROVED BY </t>
    </r>
    <r>
      <rPr>
        <sz val="7"/>
        <rFont val="Arial"/>
        <family val="2"/>
      </rPr>
      <t>(dept 2nd level)</t>
    </r>
  </si>
  <si>
    <r>
      <t xml:space="preserve">o </t>
    </r>
    <r>
      <rPr>
        <sz val="8"/>
        <rFont val="Arial"/>
        <family val="2"/>
      </rPr>
      <t>DENIED</t>
    </r>
  </si>
  <si>
    <t>Needs Waiver   Yes   No   NA</t>
  </si>
  <si>
    <r>
      <t xml:space="preserve">o </t>
    </r>
    <r>
      <rPr>
        <sz val="8"/>
        <rFont val="Arial"/>
        <family val="2"/>
      </rPr>
      <t>CONDITIONAL APPROVAL (pending specs review)</t>
    </r>
  </si>
  <si>
    <r>
      <t xml:space="preserve">o </t>
    </r>
    <r>
      <rPr>
        <sz val="8"/>
        <rFont val="Arial"/>
        <family val="2"/>
      </rPr>
      <t>FINAL APPROVAL</t>
    </r>
  </si>
  <si>
    <r>
      <t xml:space="preserve">o </t>
    </r>
    <r>
      <rPr>
        <sz val="8"/>
        <rFont val="Arial"/>
        <family val="2"/>
      </rPr>
      <t>APPROVED</t>
    </r>
  </si>
  <si>
    <t>NOTE - This form should go directly to Central Shops. Please see instructions document, Appendix B.</t>
  </si>
  <si>
    <t>Chris Trenschel</t>
  </si>
  <si>
    <t>Melissa Howard Whitehouse</t>
  </si>
  <si>
    <t>Devin Macaulay</t>
  </si>
  <si>
    <t>Caylin Wang</t>
  </si>
  <si>
    <t>Jessica Bullen Kinard</t>
  </si>
  <si>
    <t>Naomi Drexler</t>
  </si>
  <si>
    <t>Carol Lu</t>
  </si>
  <si>
    <t>Jason Cunningham</t>
  </si>
  <si>
    <t>(415) 554-6626</t>
  </si>
  <si>
    <t>BUDGET FORM 7: Position Changes</t>
  </si>
  <si>
    <t>Form 7: Describe all Position Changes</t>
  </si>
  <si>
    <t>Please explain all position changes and indicate if the change will result in a layoff. (Report will automatically sort by Position Action Indicator)</t>
  </si>
  <si>
    <t>Title</t>
  </si>
  <si>
    <t>Position Status Indicator</t>
  </si>
  <si>
    <t>Position Action Indicator</t>
  </si>
  <si>
    <t>Reference Number</t>
  </si>
  <si>
    <t>Does this change result in a layoff (Y/N)</t>
  </si>
  <si>
    <t>Total Salary and Fringe Amount</t>
  </si>
  <si>
    <t>FTE Count</t>
  </si>
  <si>
    <t xml:space="preserve">Explanation </t>
  </si>
  <si>
    <r>
      <rPr>
        <b/>
        <sz val="11"/>
        <rFont val="Arial"/>
        <family val="2"/>
      </rPr>
      <t>Note</t>
    </r>
    <r>
      <rPr>
        <sz val="11"/>
        <rFont val="Arial"/>
        <family val="2"/>
      </rPr>
      <t xml:space="preserve">: the Mayor's Office will notify you of the report number you must run in the budget system to complete this form. </t>
    </r>
  </si>
  <si>
    <t>Budget System Report xxxx (T.B.D. - Mayor's Office will let you know)</t>
  </si>
  <si>
    <t>(415) 554-6485</t>
  </si>
  <si>
    <t>(415) 554-6982</t>
  </si>
  <si>
    <t xml:space="preserve">Please Run Report 15.40.025: Form 7 Position Changes from the Budget System.  </t>
  </si>
  <si>
    <t>CANDIDATE FILING FEE - SCHOOL BOARD</t>
  </si>
  <si>
    <t>CANDIDATE FILING FEE - COMMUNITY COLLEGE BOARD</t>
  </si>
  <si>
    <t>BOARD OF SUPERVISOR #  1</t>
  </si>
  <si>
    <t>BOARD OF SUPERVISOR #  2</t>
  </si>
  <si>
    <t>BOARD OF SUPERVISOR # 3</t>
  </si>
  <si>
    <t>BOARD OF SUPERVISOR # 4</t>
  </si>
  <si>
    <t>BOARD OF SUPERVISOR #  5</t>
  </si>
  <si>
    <t>BOARD OF SUPERVISOR #  6</t>
  </si>
  <si>
    <t>BOARD OF SUPERVISOR #  7</t>
  </si>
  <si>
    <t>BOARD OF SUPERVISOR #  8</t>
  </si>
  <si>
    <t>BOARD OF SUPERVISOR #  9</t>
  </si>
  <si>
    <t>BOARD OF SUPERVISOR #  10</t>
  </si>
  <si>
    <t>BOARD OF SUPERVISOR #  11</t>
  </si>
  <si>
    <t>MAYOR</t>
  </si>
  <si>
    <t>DISTRICT ATTORNEY</t>
  </si>
  <si>
    <t>SHERIFF</t>
  </si>
  <si>
    <t>CITY ATTORNEY</t>
  </si>
  <si>
    <t>TREASURER</t>
  </si>
  <si>
    <t>ASSESSOR-RECORDER</t>
  </si>
  <si>
    <t>PUBLIC DEFENDER</t>
  </si>
  <si>
    <t xml:space="preserve">SUPERIOR COURT JUDGES </t>
  </si>
  <si>
    <t>PAID BALLOT ARGUMENTS</t>
  </si>
  <si>
    <t>ORDINANCE SUBMISSION</t>
  </si>
  <si>
    <t>CHARTER AMENDMENT SUBMISSION</t>
  </si>
  <si>
    <t>DECLARATION OF POLICY SUBMISSION</t>
  </si>
  <si>
    <t>CERTIFICATES OF REGISTRATION</t>
  </si>
  <si>
    <t>Maps - CCSF Supervisorial districts/precincts</t>
  </si>
  <si>
    <t>Document copies</t>
  </si>
  <si>
    <t>NO</t>
  </si>
  <si>
    <t>per candidate</t>
  </si>
  <si>
    <t>$200 plus $2 per word</t>
  </si>
  <si>
    <t>per argument</t>
  </si>
  <si>
    <t>per measure</t>
  </si>
  <si>
    <t>per file</t>
  </si>
  <si>
    <t>per certificate</t>
  </si>
  <si>
    <t>per map</t>
  </si>
  <si>
    <t>per copy</t>
  </si>
  <si>
    <t>AAA</t>
  </si>
  <si>
    <t>FCH</t>
  </si>
  <si>
    <t>ELECTIONS</t>
  </si>
  <si>
    <t>COUNTY CANDIDATE FILING FEE</t>
  </si>
  <si>
    <t>PAID BALLOT ARGUMENT FEE</t>
  </si>
  <si>
    <t>OTHER GENERAL GOVERNMENT CHARGES</t>
  </si>
  <si>
    <t>PERMANENT SALARIES-MISC</t>
  </si>
  <si>
    <t>TEMP SALARIES-MISC</t>
  </si>
  <si>
    <t>PREMIUM PAY</t>
  </si>
  <si>
    <t>OVERTIME</t>
  </si>
  <si>
    <t>HOLIDAY PAY</t>
  </si>
  <si>
    <t>RETIREMENT</t>
  </si>
  <si>
    <t>SOCIAL SECURITY</t>
  </si>
  <si>
    <t>HEALTH SERVICE</t>
  </si>
  <si>
    <t>DENTAL COVERAGE</t>
  </si>
  <si>
    <t>UNEMPLOYMENT INSURANCE</t>
  </si>
  <si>
    <t>OTHER FRINGE BENEFITS</t>
  </si>
  <si>
    <t>TRAVEL</t>
  </si>
  <si>
    <t>TRAINING</t>
  </si>
  <si>
    <t>EMPLOYEE EXPENSES</t>
  </si>
  <si>
    <t>MEMBERSHIP FEES</t>
  </si>
  <si>
    <t>COURT FEES AND OTHER COMPENSATION</t>
  </si>
  <si>
    <t>PROFESSIONAL &amp; SPECIALIZED SERVICES</t>
  </si>
  <si>
    <t>MAINTENANCE SVCS-BUILDING &amp; STRUCTURES</t>
  </si>
  <si>
    <t>MAINTENANCE SVCS-EQUIPMENT</t>
  </si>
  <si>
    <t>RENTS &amp; LEASES-BUILDINGS &amp; STRUCTURES</t>
  </si>
  <si>
    <t>081C5</t>
  </si>
  <si>
    <t>IS-TIS-ISD SERVICES</t>
  </si>
  <si>
    <t>081CA</t>
  </si>
  <si>
    <t>GF-ADM-GENERAL(AAO)</t>
  </si>
  <si>
    <t>081CB</t>
  </si>
  <si>
    <t>GF-RISK MANAGEMENT SERVICES (AAO)</t>
  </si>
  <si>
    <t>081CI</t>
  </si>
  <si>
    <t>IS-TIS-ISD SERVICES-INFRASTRUCTURE COST</t>
  </si>
  <si>
    <t>081ET</t>
  </si>
  <si>
    <t>GF-TIS-TELEPHONE(AAO)</t>
  </si>
  <si>
    <t>081FM</t>
  </si>
  <si>
    <t>GF-GSA-FACILITIES MANAGEMENT SERVICES</t>
  </si>
  <si>
    <t>081H4</t>
  </si>
  <si>
    <t>GF-HR-CLIENT SRVS/RECRUIT/ASSESS</t>
  </si>
  <si>
    <t>081M2</t>
  </si>
  <si>
    <t>GF-CHF-YOUTH WORKS</t>
  </si>
  <si>
    <t>081PA</t>
  </si>
  <si>
    <t>IS-PURCH-CENTRAL SHOPS-AUTO MAINT</t>
  </si>
  <si>
    <t>081PE</t>
  </si>
  <si>
    <t>IS-PURCH-VEHICLE LEASING (AAO)</t>
  </si>
  <si>
    <t>081PF</t>
  </si>
  <si>
    <t>IS-PURCH-CENTRAL SHOPS-FUEL STOCK</t>
  </si>
  <si>
    <t>081PK</t>
  </si>
  <si>
    <t>GF-PARKING &amp; TRAFFIC</t>
  </si>
  <si>
    <t>081PM</t>
  </si>
  <si>
    <t>GF-PURCH-MAIL SERVICES</t>
  </si>
  <si>
    <t>081PR</t>
  </si>
  <si>
    <t>IS-PURCH-REPRODUCTION</t>
  </si>
  <si>
    <t>081SH</t>
  </si>
  <si>
    <t>GF-SHERIFF</t>
  </si>
  <si>
    <t>081UL</t>
  </si>
  <si>
    <t>GF-PUC-LIGHT HEAT &amp; POWER</t>
  </si>
  <si>
    <t>081WB</t>
  </si>
  <si>
    <t>SR-DPW-BUILDING REPAIR</t>
  </si>
  <si>
    <t>086HS</t>
  </si>
  <si>
    <t>EXP REC FR HSS (AAO)</t>
  </si>
  <si>
    <t>086RH</t>
  </si>
  <si>
    <t>EXP REC FR RETIREE HEALTH TRUST BOARD</t>
  </si>
  <si>
    <t>086RS</t>
  </si>
  <si>
    <t>EXP REC FR RETIREMENT SYSTEM (AAO)</t>
  </si>
  <si>
    <t>x</t>
  </si>
  <si>
    <t>08799</t>
  </si>
  <si>
    <t>EXP REC-UNALLOCATED (NON-AAO FDS)</t>
  </si>
  <si>
    <t>087ED</t>
  </si>
  <si>
    <t>EXP REC FR BUS &amp; ENC DEV (NON-AAO)</t>
  </si>
  <si>
    <t>087SD</t>
  </si>
  <si>
    <t>EXP REC FR COUNTY ED (NON-AAO)</t>
  </si>
  <si>
    <t>Department of Elections</t>
  </si>
  <si>
    <t>Assembly of Vote By Mail Envelopes (VBM)</t>
  </si>
  <si>
    <t>Junior Clerk</t>
  </si>
  <si>
    <t>1402</t>
  </si>
  <si>
    <t>Principal Clerk</t>
  </si>
  <si>
    <t>1410</t>
  </si>
  <si>
    <t>Elections Worker</t>
  </si>
  <si>
    <t>1471</t>
  </si>
  <si>
    <t>1. FY 2007-08 was the first year these services were contracted out.</t>
  </si>
  <si>
    <t>yes</t>
  </si>
  <si>
    <t>FY 2012-13</t>
  </si>
  <si>
    <t xml:space="preserve">Elections Worker </t>
  </si>
  <si>
    <t>Phone:554-5683</t>
  </si>
  <si>
    <t>Email: nataliya.kuzina@sfgov.org</t>
  </si>
  <si>
    <t xml:space="preserve">The estimated contract cost is based on the contractor's invoice for the services performed for the November 2012 election (a two-card ballot election) and the Department's anticipation to have a five-card ballot for the November 2015 election.  </t>
  </si>
  <si>
    <t>BUDGET FORM 10A: Major Contract Changes (non-ICT)</t>
  </si>
  <si>
    <t>BUDGET FORM 10B: Changes for Enterprise IT and Telecom Contracts for Procurements and Services</t>
  </si>
  <si>
    <t>FY 2014-15 Changes - Contract Description</t>
  </si>
  <si>
    <t>Proposed FY 2014-15 Contractor Data</t>
  </si>
  <si>
    <t>Proposed FY 2013-14
Contractor Data</t>
  </si>
  <si>
    <t>Proposed FY 2014-15
Contractor Data</t>
  </si>
  <si>
    <t xml:space="preserve">Annual number of outreach events to target communities. </t>
  </si>
  <si>
    <t>As required by the Voting Rights Act. Varies based upon number of elections in a fiscal year and the amount of funding the Department receives for outreach activities.  Number may double in years with two major elections.</t>
  </si>
  <si>
    <t>Number of Outreach Events</t>
  </si>
  <si>
    <t>FY 04-05(1)</t>
  </si>
  <si>
    <t>FY05-06(2)</t>
  </si>
  <si>
    <t>FY06-07(1)</t>
  </si>
  <si>
    <t>FY07-08(3)</t>
  </si>
  <si>
    <t>FY08-09(1)</t>
  </si>
  <si>
    <t>FY09-10(2)</t>
  </si>
  <si>
    <t>FY10-11(1)</t>
  </si>
  <si>
    <t>FY11-12(3)</t>
  </si>
  <si>
    <t>FY12-13(1)</t>
  </si>
  <si>
    <t>FY13-14(2)</t>
  </si>
  <si>
    <t>Actual Number of Bilingual Pollworkers Recruited</t>
  </si>
  <si>
    <t>As required by the Voting Rights Act. Varies based upon number of elections in a fiscal year and whether the Department is funded for increased pollworker placement.  Number may double in years with two major elections.</t>
  </si>
  <si>
    <t>Number of Bilingual Pollworkers</t>
  </si>
  <si>
    <t xml:space="preserve">FY12-13(1) </t>
  </si>
  <si>
    <t>Dominion</t>
  </si>
  <si>
    <t>K&amp;H</t>
  </si>
  <si>
    <t>Lighthouse for the Blind</t>
  </si>
  <si>
    <t>ASL Interperters</t>
  </si>
  <si>
    <t>ABC Security Service</t>
  </si>
  <si>
    <t>People Connection</t>
  </si>
  <si>
    <t>Linda Kittlitz</t>
  </si>
  <si>
    <t>TFG Security System maintenance</t>
  </si>
  <si>
    <t>DFM</t>
  </si>
  <si>
    <t>Motorola</t>
  </si>
  <si>
    <t>Wise Trend</t>
  </si>
  <si>
    <t>RENTS &amp; LEASES-EQUIPMENT</t>
  </si>
  <si>
    <t>OTHER CURRENT EXPENSES</t>
  </si>
  <si>
    <t>TAXES; LICENSES &amp; PERMITS</t>
  </si>
  <si>
    <t>BUILDING &amp; CONSTRUCTION SUPPLIES</t>
  </si>
  <si>
    <t>SAFETY</t>
  </si>
  <si>
    <t>FOOD</t>
  </si>
  <si>
    <t>OTHER MATERIALS &amp; SUPPLIES</t>
  </si>
  <si>
    <t>EQUIPMENT PURCHASE</t>
  </si>
  <si>
    <t>EQPT LEASE/PURCH-CITY FIN AGCY-OPT RENEW</t>
  </si>
  <si>
    <t>FY14-15(1)</t>
  </si>
  <si>
    <t>GRAPH 3</t>
  </si>
  <si>
    <t>GRAPH 4</t>
  </si>
  <si>
    <t>GRAPH 5</t>
  </si>
  <si>
    <t>Actual Number of Registered Voters</t>
  </si>
  <si>
    <t>Actual Number of Permanent VBM Voters</t>
  </si>
  <si>
    <t>% Turnout at Polls Vs % Turnout Voted VBM</t>
  </si>
  <si>
    <t>The chart shows the number of registered voters for each Election since March 2004 to present.</t>
  </si>
  <si>
    <t>The chart shows the upward trend in the number of registered voters who have requested to be permanent Vote-By-Mail (VBM) voters.</t>
  </si>
  <si>
    <t>The chart shows a comparison between the % of Turnout of voters voting at the Polls and the % of Turnout who voted via VBM.</t>
  </si>
  <si>
    <t>Election Mo-Yr</t>
  </si>
  <si>
    <t>Number of Registered Voters</t>
  </si>
  <si>
    <t>Number of Permanent VBM Voters</t>
  </si>
  <si>
    <t>% Turnout @ Polls</t>
  </si>
  <si>
    <t>% Turnout VBM</t>
  </si>
  <si>
    <t>Nov-09</t>
  </si>
  <si>
    <t>Jun-10</t>
  </si>
  <si>
    <t>Nov-10</t>
  </si>
  <si>
    <t>Sheet Counter</t>
  </si>
  <si>
    <t>New</t>
  </si>
  <si>
    <t>Ballot Extractor</t>
  </si>
  <si>
    <t>Direct Payment to Poll Workers</t>
  </si>
  <si>
    <t>Poll worker stipends</t>
  </si>
  <si>
    <t>Dominion voting system and service contract</t>
  </si>
  <si>
    <t>Mailing of ballots</t>
  </si>
  <si>
    <t>VIP layout and translation</t>
  </si>
  <si>
    <t>Sign posting</t>
  </si>
  <si>
    <t>Formating and printing material in large print and braille</t>
  </si>
  <si>
    <t>American Sign Language interpretation services</t>
  </si>
  <si>
    <t>Lock and garage door repair for polling place sites</t>
  </si>
  <si>
    <t>Temporary employees for election night</t>
  </si>
  <si>
    <t>FY13-14</t>
  </si>
  <si>
    <t>Scanning support/ maintenance</t>
  </si>
  <si>
    <t>Extended service agreement, parts &amp; repairs 3 years</t>
  </si>
  <si>
    <t>DFM Election Information Management System</t>
  </si>
  <si>
    <t>SUPERIOR COURT JUDGES CANDIDATE STATEMENT</t>
  </si>
  <si>
    <t>STATE ASSEMBLY 17 CANDIDATE STATEMENT</t>
  </si>
  <si>
    <t>STATE ASSEMBLY 19 CANDIDATE STATEMENT</t>
  </si>
  <si>
    <t>STATE SENATE 11 CANDIDATE STATEMENT</t>
  </si>
  <si>
    <t>CONGRESSIONAL 12 CANDIDATE STATEMENT</t>
  </si>
  <si>
    <t>CONGRESSIONAL 14 CANDIDATE STATEMENT</t>
  </si>
  <si>
    <t>CDs Master Voter File/AV File/Voter File/Precinct Districts/GIS File</t>
  </si>
  <si>
    <t>per statement</t>
  </si>
  <si>
    <t>Other</t>
  </si>
  <si>
    <t>FY14-15</t>
  </si>
  <si>
    <t>Two elections in FY2013-14 and one election in FY2014-15</t>
  </si>
  <si>
    <t>Two elections in FY2013-14 and one election in FY2014-16</t>
  </si>
  <si>
    <t>Two elections in FY2013-14 and one election in FY2014-17</t>
  </si>
  <si>
    <t>Runbeck</t>
  </si>
  <si>
    <t>SFPD</t>
  </si>
  <si>
    <t>Agilis Annual Maintenance &amp; License Fee</t>
  </si>
  <si>
    <t>InterEthnica</t>
  </si>
  <si>
    <t>NA</t>
  </si>
  <si>
    <t>FY2013-14: Increase in temporary salaries to support an estimated increase in the number of ballot cards in the June 2014 primary election.</t>
  </si>
  <si>
    <t>Elections - 27 - Professional and Specialized Services</t>
  </si>
  <si>
    <t>Elections - 28 - Maintenance</t>
  </si>
  <si>
    <t>Elections - 26 - Court Fees and Other Compensation</t>
  </si>
  <si>
    <t>Elections - 5 - Temp Salaries</t>
  </si>
  <si>
    <t>Elections - 29 - Maintenance</t>
  </si>
  <si>
    <t>Elections - 30 - Rent</t>
  </si>
  <si>
    <t>FY2013-14: Reduction in materials destruction.</t>
  </si>
  <si>
    <t>FY2013-14: Reduction in machine maintenance.</t>
  </si>
  <si>
    <t>Elections - 31 - Rentals</t>
  </si>
  <si>
    <t>Elections - 42 - Building and Construction Supplies</t>
  </si>
  <si>
    <t>FY2013-14: Increase in printing costs to support increased registration and an estimated increase in the number of ballot cards and pages in the Voter Information Pamphlet in the June 2014 primary election.
FY2014-15: Decrease due to one scheduled election versus two in FY2013-14.</t>
  </si>
  <si>
    <t>FY2013-14: Increase for poll worker training and polling place facility rental costs.
FY2014-15: Decrease due to one scheduled election versus two in FY2013-14.</t>
  </si>
  <si>
    <t>FY2013-14: Reduction in supply costs due to effort to reuse items purchased in FY2012-13.
FY2014-15: Decrease due to one scheduled election versus two in FY2013-14.</t>
  </si>
  <si>
    <t>Elections - 49 - Other Materials and Supplies</t>
  </si>
  <si>
    <t>Elections - 60 - Equipment Purchase</t>
  </si>
  <si>
    <t>FY2013-14 and FY2014-15: Reduction in equipment rental costs.</t>
  </si>
  <si>
    <t xml:space="preserve">FY2013-14 and FY2014-15: Increase to purchase equipment to expedite processing of ballots. </t>
  </si>
  <si>
    <t>FY2013-14 and FY2014-15: Increase to meet actual printing costs in prior equivalent elections.</t>
  </si>
  <si>
    <t>FY2013-14 and FY2014-15: Decrease in parking permit purchases in favor of increase public transit use.</t>
  </si>
  <si>
    <t>FY2013-14: Increase in professional services contract costs to support increased registration and an estimated increase in the number of ballot cards in the June 2014 primary election.
FY2014-15: Decrease due to one scheduled election versus two in FY2013-14.</t>
  </si>
  <si>
    <t>Elections - 35 - Other Current Expenses</t>
  </si>
  <si>
    <t>Elections - 81PM - Mail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</si>
</sst>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00"/>
    <numFmt numFmtId="167" formatCode="_(* #,##0_);_(* \(#,##0\);_(* &quot;-&quot;??_);_(@_)"/>
    <numFmt numFmtId="168" formatCode="0.0%"/>
    <numFmt numFmtId="169" formatCode="#,##0.0000_);\(#,##0.0000\)"/>
    <numFmt numFmtId="170" formatCode="_(* #,##0.0_);_(* \(#,##0.0\);_(* &quot;-&quot;?_);_(@_)"/>
    <numFmt numFmtId="171" formatCode="#,##0.0_);\(#,##0.0\)"/>
    <numFmt numFmtId="172" formatCode="0_);\(0\)"/>
    <numFmt numFmtId="173" formatCode="[$-409]mmm\-yy;@"/>
  </numFmts>
  <fonts count="74" x14ac:knownFonts="1">
    <font>
      <sz val="10"/>
      <name val="Arial"/>
    </font>
    <font>
      <sz val="11"/>
      <color theme="1"/>
      <name val="Calibri"/>
      <family val="2"/>
      <scheme val="minor"/>
    </font>
    <font>
      <sz val="10"/>
      <name val="Arial"/>
      <family val="2"/>
    </font>
    <font>
      <b/>
      <sz val="14"/>
      <name val="Arial"/>
      <family val="2"/>
    </font>
    <font>
      <b/>
      <sz val="11"/>
      <name val="Arial"/>
      <family val="2"/>
    </font>
    <font>
      <sz val="11"/>
      <name val="Arial"/>
      <family val="2"/>
    </font>
    <font>
      <sz val="14"/>
      <name val="Arial"/>
      <family val="2"/>
    </font>
    <font>
      <b/>
      <sz val="12"/>
      <name val="Arial"/>
      <family val="2"/>
    </font>
    <font>
      <sz val="12"/>
      <name val="Arial"/>
      <family val="2"/>
    </font>
    <font>
      <b/>
      <u/>
      <sz val="11"/>
      <name val="Arial"/>
      <family val="2"/>
    </font>
    <font>
      <sz val="12"/>
      <color theme="1"/>
      <name val="Times New Roman"/>
      <family val="2"/>
    </font>
    <font>
      <u/>
      <sz val="10"/>
      <color indexed="12"/>
      <name val="Arial"/>
      <family val="2"/>
    </font>
    <font>
      <b/>
      <sz val="11"/>
      <color rgb="FFFF0000"/>
      <name val="Arial"/>
      <family val="2"/>
    </font>
    <font>
      <b/>
      <sz val="11"/>
      <color indexed="10"/>
      <name val="Arial"/>
      <family val="2"/>
    </font>
    <font>
      <sz val="11"/>
      <color indexed="8"/>
      <name val="Arial"/>
      <family val="2"/>
    </font>
    <font>
      <sz val="11"/>
      <color rgb="FFFF0000"/>
      <name val="Arial"/>
      <family val="2"/>
    </font>
    <font>
      <b/>
      <sz val="10"/>
      <name val="Arial"/>
      <family val="2"/>
    </font>
    <font>
      <b/>
      <i/>
      <sz val="10"/>
      <name val="Arial"/>
      <family val="2"/>
    </font>
    <font>
      <u/>
      <sz val="10"/>
      <name val="Arial"/>
      <family val="2"/>
    </font>
    <font>
      <b/>
      <sz val="16"/>
      <name val="Arial"/>
      <family val="2"/>
    </font>
    <font>
      <sz val="16"/>
      <name val="Arial"/>
      <family val="2"/>
    </font>
    <font>
      <b/>
      <sz val="11"/>
      <color indexed="12"/>
      <name val="Arial"/>
      <family val="2"/>
    </font>
    <font>
      <b/>
      <sz val="10"/>
      <color indexed="12"/>
      <name val="Arial"/>
      <family val="2"/>
    </font>
    <font>
      <sz val="9"/>
      <color indexed="81"/>
      <name val="Tahoma"/>
      <family val="2"/>
    </font>
    <font>
      <b/>
      <sz val="9"/>
      <color indexed="81"/>
      <name val="Tahoma"/>
      <family val="2"/>
    </font>
    <font>
      <u/>
      <sz val="14"/>
      <color indexed="12"/>
      <name val="Arial"/>
      <family val="2"/>
    </font>
    <font>
      <u/>
      <sz val="16"/>
      <color indexed="12"/>
      <name val="Arial"/>
      <family val="2"/>
    </font>
    <font>
      <b/>
      <u/>
      <sz val="10"/>
      <color indexed="48"/>
      <name val="Arial"/>
      <family val="2"/>
    </font>
    <font>
      <b/>
      <u/>
      <sz val="10"/>
      <name val="Arial"/>
      <family val="2"/>
    </font>
    <font>
      <sz val="10"/>
      <color indexed="48"/>
      <name val="Arial"/>
      <family val="2"/>
    </font>
    <font>
      <sz val="8"/>
      <name val="Arial"/>
      <family val="2"/>
    </font>
    <font>
      <b/>
      <sz val="8"/>
      <name val="Arial"/>
      <family val="2"/>
    </font>
    <font>
      <sz val="8"/>
      <name val="Wingdings"/>
      <charset val="2"/>
    </font>
    <font>
      <b/>
      <sz val="8"/>
      <color rgb="FF000000"/>
      <name val="Arial"/>
      <family val="2"/>
    </font>
    <font>
      <sz val="8"/>
      <color rgb="FF000000"/>
      <name val="Arial"/>
      <family val="2"/>
    </font>
    <font>
      <sz val="8"/>
      <color indexed="8"/>
      <name val="Arial"/>
      <family val="2"/>
    </font>
    <font>
      <u/>
      <sz val="8"/>
      <color rgb="FF000000"/>
      <name val="Arial"/>
      <family val="2"/>
    </font>
    <font>
      <u/>
      <sz val="10"/>
      <color indexed="8"/>
      <name val="Arial"/>
      <family val="2"/>
    </font>
    <font>
      <sz val="10"/>
      <color indexed="8"/>
      <name val="Arial"/>
      <family val="2"/>
    </font>
    <font>
      <b/>
      <u/>
      <sz val="14"/>
      <name val="Arial"/>
      <family val="2"/>
    </font>
    <font>
      <sz val="8"/>
      <color indexed="81"/>
      <name val="Tahoma"/>
      <family val="2"/>
    </font>
    <font>
      <b/>
      <sz val="8"/>
      <color indexed="81"/>
      <name val="Tahoma"/>
      <family val="2"/>
    </font>
    <font>
      <b/>
      <sz val="10"/>
      <color indexed="8"/>
      <name val="Arial"/>
      <family val="2"/>
    </font>
    <font>
      <i/>
      <sz val="10"/>
      <color indexed="8"/>
      <name val="Arial"/>
      <family val="2"/>
    </font>
    <font>
      <sz val="10"/>
      <color theme="1"/>
      <name val="Arial"/>
      <family val="2"/>
    </font>
    <font>
      <b/>
      <i/>
      <sz val="10"/>
      <color indexed="8"/>
      <name val="Arial"/>
      <family val="2"/>
    </font>
    <font>
      <u/>
      <sz val="8"/>
      <name val="Arial"/>
      <family val="2"/>
    </font>
    <font>
      <u/>
      <sz val="11"/>
      <name val="Arial"/>
      <family val="2"/>
    </font>
    <font>
      <sz val="10"/>
      <color indexed="9"/>
      <name val="Arial"/>
      <family val="2"/>
    </font>
    <font>
      <sz val="12"/>
      <color indexed="8"/>
      <name val="Times New Roman"/>
      <family val="2"/>
    </font>
    <font>
      <b/>
      <sz val="10"/>
      <color theme="1"/>
      <name val="Arial"/>
      <family val="2"/>
    </font>
    <font>
      <b/>
      <u/>
      <sz val="11"/>
      <color theme="1"/>
      <name val="Arial"/>
      <family val="2"/>
    </font>
    <font>
      <b/>
      <u/>
      <sz val="10"/>
      <color indexed="8"/>
      <name val="Arial"/>
      <family val="2"/>
    </font>
    <font>
      <sz val="7"/>
      <name val="Arial"/>
      <family val="2"/>
    </font>
    <font>
      <i/>
      <sz val="11"/>
      <color rgb="FFFF0000"/>
      <name val="Calibri"/>
      <family val="2"/>
      <scheme val="minor"/>
    </font>
    <fon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s>
  <fills count="3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indexed="9"/>
        <bgColor indexed="64"/>
      </patternFill>
    </fill>
    <fill>
      <patternFill patternType="solid">
        <fgColor indexed="22"/>
        <bgColor indexed="64"/>
      </patternFill>
    </fill>
    <fill>
      <patternFill patternType="solid">
        <fgColor rgb="FFFFFF00"/>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7">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11" fillId="0" borderId="0" applyNumberFormat="0" applyFill="0" applyBorder="0" applyAlignment="0" applyProtection="0">
      <alignment vertical="top"/>
      <protection locked="0"/>
    </xf>
    <xf numFmtId="0" fontId="10" fillId="0" borderId="0"/>
    <xf numFmtId="0" fontId="2"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2" fillId="0" borderId="0"/>
    <xf numFmtId="37" fontId="2" fillId="0" borderId="0"/>
    <xf numFmtId="37" fontId="2" fillId="6" borderId="0"/>
    <xf numFmtId="0" fontId="49" fillId="0" borderId="0"/>
    <xf numFmtId="43" fontId="49" fillId="0" borderId="0" applyFont="0" applyFill="0" applyBorder="0" applyAlignment="0" applyProtection="0"/>
    <xf numFmtId="0" fontId="1" fillId="0" borderId="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16" borderId="0" applyNumberFormat="0" applyBorder="0" applyAlignment="0" applyProtection="0"/>
    <xf numFmtId="0" fontId="56" fillId="19" borderId="0" applyNumberFormat="0" applyBorder="0" applyAlignment="0" applyProtection="0"/>
    <xf numFmtId="0" fontId="56" fillId="22" borderId="0" applyNumberFormat="0" applyBorder="0" applyAlignment="0" applyProtection="0"/>
    <xf numFmtId="0" fontId="57" fillId="23"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24" borderId="0" applyNumberFormat="0" applyBorder="0" applyAlignment="0" applyProtection="0"/>
    <xf numFmtId="0" fontId="57" fillId="25" borderId="0" applyNumberFormat="0" applyBorder="0" applyAlignment="0" applyProtection="0"/>
    <xf numFmtId="0" fontId="57" fillId="30" borderId="0" applyNumberFormat="0" applyBorder="0" applyAlignment="0" applyProtection="0"/>
    <xf numFmtId="0" fontId="58" fillId="14" borderId="0" applyNumberFormat="0" applyBorder="0" applyAlignment="0" applyProtection="0"/>
    <xf numFmtId="0" fontId="59" fillId="31" borderId="76" applyNumberFormat="0" applyAlignment="0" applyProtection="0"/>
    <xf numFmtId="0" fontId="60" fillId="32" borderId="7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61" fillId="0" borderId="0" applyNumberFormat="0" applyFill="0" applyBorder="0" applyAlignment="0" applyProtection="0"/>
    <xf numFmtId="0" fontId="62" fillId="15" borderId="0" applyNumberFormat="0" applyBorder="0" applyAlignment="0" applyProtection="0"/>
    <xf numFmtId="0" fontId="63" fillId="0" borderId="78" applyNumberFormat="0" applyFill="0" applyAlignment="0" applyProtection="0"/>
    <xf numFmtId="0" fontId="64" fillId="0" borderId="79" applyNumberFormat="0" applyFill="0" applyAlignment="0" applyProtection="0"/>
    <xf numFmtId="0" fontId="65" fillId="0" borderId="80" applyNumberFormat="0" applyFill="0" applyAlignment="0" applyProtection="0"/>
    <xf numFmtId="0" fontId="65" fillId="0" borderId="0" applyNumberFormat="0" applyFill="0" applyBorder="0" applyAlignment="0" applyProtection="0"/>
    <xf numFmtId="0" fontId="66" fillId="18" borderId="76" applyNumberFormat="0" applyAlignment="0" applyProtection="0"/>
    <xf numFmtId="0" fontId="67" fillId="0" borderId="81" applyNumberFormat="0" applyFill="0" applyAlignment="0" applyProtection="0"/>
    <xf numFmtId="0" fontId="68" fillId="33" borderId="0" applyNumberFormat="0" applyBorder="0" applyAlignment="0" applyProtection="0"/>
    <xf numFmtId="0" fontId="2" fillId="0" borderId="0"/>
    <xf numFmtId="0" fontId="2" fillId="34" borderId="82" applyNumberFormat="0" applyFont="0" applyAlignment="0" applyProtection="0"/>
    <xf numFmtId="0" fontId="69" fillId="31" borderId="8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0" borderId="0" applyNumberForma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 fillId="0" borderId="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73" fillId="0" borderId="0" applyFont="0" applyFill="0" applyBorder="0" applyAlignment="0" applyProtection="0"/>
  </cellStyleXfs>
  <cellXfs count="976">
    <xf numFmtId="0" fontId="0" fillId="0" borderId="0" xfId="0"/>
    <xf numFmtId="0" fontId="3" fillId="2" borderId="0" xfId="1" applyFont="1" applyFill="1" applyAlignment="1">
      <alignment horizontal="left" vertical="center"/>
    </xf>
    <xf numFmtId="0" fontId="4" fillId="2" borderId="0" xfId="1" applyFont="1" applyFill="1" applyAlignment="1">
      <alignment horizontal="left" vertical="center"/>
    </xf>
    <xf numFmtId="0" fontId="5" fillId="2" borderId="0" xfId="1" applyFont="1" applyFill="1"/>
    <xf numFmtId="43" fontId="5" fillId="2" borderId="0" xfId="2" applyFont="1" applyFill="1"/>
    <xf numFmtId="0" fontId="5" fillId="2" borderId="0" xfId="1" applyFont="1" applyFill="1" applyAlignment="1">
      <alignment wrapText="1"/>
    </xf>
    <xf numFmtId="0" fontId="6" fillId="2" borderId="0" xfId="1" applyFont="1" applyFill="1" applyAlignment="1">
      <alignment horizontal="left" vertical="center"/>
    </xf>
    <xf numFmtId="0" fontId="5" fillId="2" borderId="0" xfId="1" applyFont="1" applyFill="1" applyAlignment="1">
      <alignment horizontal="left" vertical="center"/>
    </xf>
    <xf numFmtId="0" fontId="7" fillId="3" borderId="1" xfId="1" applyFont="1" applyFill="1" applyBorder="1"/>
    <xf numFmtId="0" fontId="7" fillId="3" borderId="2" xfId="1" applyFont="1" applyFill="1" applyBorder="1"/>
    <xf numFmtId="0" fontId="7" fillId="3" borderId="3" xfId="1" applyFont="1" applyFill="1" applyBorder="1"/>
    <xf numFmtId="0" fontId="8" fillId="2" borderId="0" xfId="1" applyFont="1" applyFill="1"/>
    <xf numFmtId="43" fontId="8" fillId="2" borderId="0" xfId="2" applyFont="1" applyFill="1"/>
    <xf numFmtId="0" fontId="8" fillId="2" borderId="0" xfId="1" applyFont="1" applyFill="1" applyAlignment="1">
      <alignment wrapText="1"/>
    </xf>
    <xf numFmtId="0" fontId="4" fillId="4" borderId="4" xfId="1" applyFont="1" applyFill="1" applyBorder="1" applyAlignment="1">
      <alignment horizontal="center" vertical="center" wrapText="1"/>
    </xf>
    <xf numFmtId="43" fontId="4" fillId="4" borderId="5" xfId="2" applyFont="1" applyFill="1" applyBorder="1" applyAlignment="1">
      <alignment horizontal="center" vertical="center" wrapText="1"/>
    </xf>
    <xf numFmtId="0" fontId="4" fillId="5" borderId="6"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2" borderId="0" xfId="1" applyFont="1" applyFill="1" applyAlignment="1">
      <alignment horizontal="center" vertical="center" wrapText="1"/>
    </xf>
    <xf numFmtId="0" fontId="5" fillId="2" borderId="4" xfId="1" applyFont="1" applyFill="1" applyBorder="1"/>
    <xf numFmtId="43" fontId="5" fillId="2" borderId="5" xfId="2" applyFont="1" applyFill="1" applyBorder="1"/>
    <xf numFmtId="0" fontId="5" fillId="2" borderId="10" xfId="1" applyFont="1" applyFill="1" applyBorder="1"/>
    <xf numFmtId="0" fontId="5" fillId="2" borderId="9" xfId="1" applyFont="1" applyFill="1" applyBorder="1" applyAlignment="1">
      <alignment wrapText="1"/>
    </xf>
    <xf numFmtId="0" fontId="5" fillId="2" borderId="11" xfId="1" applyFont="1" applyFill="1" applyBorder="1" applyAlignment="1">
      <alignment wrapText="1"/>
    </xf>
    <xf numFmtId="0" fontId="5" fillId="2" borderId="8" xfId="1" applyFont="1" applyFill="1" applyBorder="1" applyAlignment="1">
      <alignment wrapText="1"/>
    </xf>
    <xf numFmtId="0" fontId="5" fillId="2" borderId="13" xfId="1" applyFont="1" applyFill="1" applyBorder="1"/>
    <xf numFmtId="0" fontId="5" fillId="2" borderId="12" xfId="1" applyFont="1" applyFill="1" applyBorder="1" applyAlignment="1">
      <alignment wrapText="1"/>
    </xf>
    <xf numFmtId="0" fontId="8" fillId="3" borderId="2" xfId="1" applyFont="1" applyFill="1" applyBorder="1"/>
    <xf numFmtId="0" fontId="8" fillId="3" borderId="3" xfId="1" applyFont="1" applyFill="1" applyBorder="1"/>
    <xf numFmtId="0" fontId="5" fillId="5" borderId="9" xfId="1" applyFont="1" applyFill="1" applyBorder="1"/>
    <xf numFmtId="0" fontId="5" fillId="5" borderId="10" xfId="1" applyFont="1" applyFill="1" applyBorder="1"/>
    <xf numFmtId="0" fontId="5" fillId="2" borderId="8" xfId="1" applyFont="1" applyFill="1" applyBorder="1"/>
    <xf numFmtId="0" fontId="5" fillId="5" borderId="12" xfId="1" applyFont="1" applyFill="1" applyBorder="1"/>
    <xf numFmtId="0" fontId="5" fillId="5" borderId="13" xfId="1" applyFont="1" applyFill="1" applyBorder="1"/>
    <xf numFmtId="0" fontId="9" fillId="6" borderId="0" xfId="0" applyFont="1" applyFill="1"/>
    <xf numFmtId="0" fontId="3" fillId="6" borderId="0" xfId="0" applyFont="1" applyFill="1"/>
    <xf numFmtId="0" fontId="4" fillId="6" borderId="0" xfId="0" applyFont="1" applyFill="1"/>
    <xf numFmtId="164" fontId="5" fillId="6" borderId="0" xfId="7" applyNumberFormat="1" applyFont="1" applyFill="1"/>
    <xf numFmtId="0" fontId="5" fillId="6" borderId="0" xfId="0" applyFont="1" applyFill="1"/>
    <xf numFmtId="0" fontId="6" fillId="6" borderId="0" xfId="0" applyFont="1" applyFill="1"/>
    <xf numFmtId="0" fontId="4" fillId="6" borderId="0" xfId="0" applyFont="1" applyFill="1" applyBorder="1" applyAlignment="1">
      <alignment horizontal="left"/>
    </xf>
    <xf numFmtId="0" fontId="5" fillId="6" borderId="0" xfId="0" applyFont="1" applyFill="1" applyBorder="1" applyAlignment="1">
      <alignment horizontal="left" indent="1"/>
    </xf>
    <xf numFmtId="0" fontId="5" fillId="6" borderId="0" xfId="0" applyFont="1" applyFill="1" applyBorder="1"/>
    <xf numFmtId="0" fontId="4" fillId="0" borderId="14" xfId="0" applyFont="1" applyFill="1" applyBorder="1" applyAlignment="1">
      <alignment horizontal="left" indent="1"/>
    </xf>
    <xf numFmtId="0" fontId="5" fillId="0" borderId="15" xfId="0" applyFont="1" applyFill="1" applyBorder="1"/>
    <xf numFmtId="0" fontId="12" fillId="0" borderId="15" xfId="0" applyFont="1" applyFill="1" applyBorder="1" applyAlignment="1">
      <alignment horizontal="center" vertical="center"/>
    </xf>
    <xf numFmtId="0" fontId="13" fillId="0" borderId="16" xfId="0" applyFont="1" applyFill="1" applyBorder="1" applyAlignment="1">
      <alignment horizontal="center"/>
    </xf>
    <xf numFmtId="49" fontId="14" fillId="7" borderId="17" xfId="0" applyNumberFormat="1" applyFont="1" applyFill="1" applyBorder="1" applyAlignment="1">
      <alignment horizontal="center" wrapText="1"/>
    </xf>
    <xf numFmtId="49" fontId="14" fillId="7" borderId="18" xfId="0" applyNumberFormat="1" applyFont="1" applyFill="1" applyBorder="1" applyAlignment="1">
      <alignment horizontal="center" wrapText="1"/>
    </xf>
    <xf numFmtId="49" fontId="14" fillId="7" borderId="18" xfId="0" applyNumberFormat="1" applyFont="1" applyFill="1" applyBorder="1" applyAlignment="1">
      <alignment horizontal="center"/>
    </xf>
    <xf numFmtId="49" fontId="14" fillId="7" borderId="19" xfId="0" applyNumberFormat="1" applyFont="1" applyFill="1" applyBorder="1" applyAlignment="1">
      <alignment horizontal="center" wrapText="1"/>
    </xf>
    <xf numFmtId="0" fontId="5" fillId="6" borderId="0" xfId="0" applyFont="1" applyFill="1" applyAlignment="1">
      <alignment horizontal="center"/>
    </xf>
    <xf numFmtId="49" fontId="14" fillId="0" borderId="20" xfId="0" applyNumberFormat="1" applyFont="1" applyFill="1" applyBorder="1" applyAlignment="1">
      <alignment vertical="top"/>
    </xf>
    <xf numFmtId="49" fontId="14" fillId="0" borderId="21" xfId="0" applyNumberFormat="1" applyFont="1" applyFill="1" applyBorder="1" applyAlignment="1">
      <alignment vertical="top"/>
    </xf>
    <xf numFmtId="42" fontId="14" fillId="0" borderId="21" xfId="0" applyNumberFormat="1" applyFont="1" applyFill="1" applyBorder="1" applyAlignment="1">
      <alignment vertical="top"/>
    </xf>
    <xf numFmtId="42" fontId="14" fillId="0" borderId="22" xfId="0" applyNumberFormat="1" applyFont="1" applyFill="1" applyBorder="1" applyAlignment="1">
      <alignment vertical="top"/>
    </xf>
    <xf numFmtId="49" fontId="14" fillId="0" borderId="9" xfId="0" applyNumberFormat="1" applyFont="1" applyFill="1" applyBorder="1" applyAlignment="1">
      <alignment vertical="top"/>
    </xf>
    <xf numFmtId="49" fontId="14" fillId="0" borderId="4" xfId="0" applyNumberFormat="1" applyFont="1" applyFill="1" applyBorder="1" applyAlignment="1">
      <alignment vertical="top"/>
    </xf>
    <xf numFmtId="49" fontId="14" fillId="0" borderId="12" xfId="0" applyNumberFormat="1" applyFont="1" applyFill="1" applyBorder="1" applyAlignment="1">
      <alignment vertical="top"/>
    </xf>
    <xf numFmtId="49" fontId="14" fillId="0" borderId="24" xfId="0" applyNumberFormat="1" applyFont="1" applyFill="1" applyBorder="1" applyAlignment="1">
      <alignment vertical="top"/>
    </xf>
    <xf numFmtId="165" fontId="14" fillId="0" borderId="24" xfId="0" applyNumberFormat="1" applyFont="1" applyFill="1" applyBorder="1" applyAlignment="1">
      <alignment vertical="top"/>
    </xf>
    <xf numFmtId="42" fontId="14" fillId="0" borderId="24" xfId="0" applyNumberFormat="1" applyFont="1" applyFill="1" applyBorder="1" applyAlignment="1">
      <alignment vertical="top"/>
    </xf>
    <xf numFmtId="0" fontId="5" fillId="2" borderId="0" xfId="0" applyFont="1" applyFill="1" applyBorder="1" applyAlignment="1">
      <alignment horizontal="left" indent="1"/>
    </xf>
    <xf numFmtId="0" fontId="5" fillId="2" borderId="0" xfId="0" applyFont="1" applyFill="1" applyBorder="1"/>
    <xf numFmtId="0" fontId="5" fillId="2" borderId="0" xfId="0" applyFont="1" applyFill="1"/>
    <xf numFmtId="49" fontId="14" fillId="0" borderId="20" xfId="0" applyNumberFormat="1" applyFont="1" applyBorder="1" applyAlignment="1">
      <alignment vertical="top"/>
    </xf>
    <xf numFmtId="49" fontId="14" fillId="0" borderId="21" xfId="0" applyNumberFormat="1" applyFont="1" applyBorder="1" applyAlignment="1">
      <alignment vertical="top"/>
    </xf>
    <xf numFmtId="42" fontId="14" fillId="0" borderId="21" xfId="0" applyNumberFormat="1" applyFont="1" applyBorder="1" applyAlignment="1">
      <alignment vertical="top"/>
    </xf>
    <xf numFmtId="42" fontId="14" fillId="0" borderId="22" xfId="0" applyNumberFormat="1" applyFont="1" applyBorder="1" applyAlignment="1">
      <alignment vertical="top"/>
    </xf>
    <xf numFmtId="165" fontId="14" fillId="0" borderId="23" xfId="0" applyNumberFormat="1" applyFont="1" applyBorder="1" applyAlignment="1">
      <alignment vertical="top"/>
    </xf>
    <xf numFmtId="49" fontId="14" fillId="0" borderId="9" xfId="0" applyNumberFormat="1" applyFont="1" applyBorder="1" applyAlignment="1">
      <alignment vertical="top"/>
    </xf>
    <xf numFmtId="49" fontId="14" fillId="0" borderId="4" xfId="0" applyNumberFormat="1" applyFont="1" applyBorder="1" applyAlignment="1">
      <alignment vertical="top"/>
    </xf>
    <xf numFmtId="165" fontId="14" fillId="0" borderId="4" xfId="0" applyNumberFormat="1" applyFont="1" applyBorder="1" applyAlignment="1">
      <alignment vertical="top"/>
    </xf>
    <xf numFmtId="165" fontId="14" fillId="0" borderId="5" xfId="0" applyNumberFormat="1" applyFont="1" applyBorder="1" applyAlignment="1">
      <alignment vertical="top"/>
    </xf>
    <xf numFmtId="165" fontId="14" fillId="0" borderId="10" xfId="0" applyNumberFormat="1" applyFont="1" applyBorder="1" applyAlignment="1">
      <alignment vertical="top"/>
    </xf>
    <xf numFmtId="49" fontId="14" fillId="0" borderId="12" xfId="0" applyNumberFormat="1" applyFont="1" applyBorder="1" applyAlignment="1">
      <alignment vertical="top"/>
    </xf>
    <xf numFmtId="49" fontId="14" fillId="0" borderId="24" xfId="0" applyNumberFormat="1" applyFont="1" applyBorder="1" applyAlignment="1">
      <alignment vertical="top"/>
    </xf>
    <xf numFmtId="42" fontId="14" fillId="0" borderId="24" xfId="0" applyNumberFormat="1" applyFont="1" applyBorder="1" applyAlignment="1">
      <alignment vertical="top"/>
    </xf>
    <xf numFmtId="165" fontId="14" fillId="0" borderId="13" xfId="0" applyNumberFormat="1" applyFont="1" applyBorder="1" applyAlignment="1">
      <alignment vertical="top"/>
    </xf>
    <xf numFmtId="164" fontId="15" fillId="6" borderId="0" xfId="7" applyNumberFormat="1" applyFont="1" applyFill="1" applyBorder="1"/>
    <xf numFmtId="0" fontId="2" fillId="2" borderId="0" xfId="15" applyFont="1" applyFill="1"/>
    <xf numFmtId="0" fontId="3" fillId="2" borderId="0" xfId="15" applyFont="1" applyFill="1"/>
    <xf numFmtId="0" fontId="2" fillId="2" borderId="0" xfId="15" applyFont="1" applyFill="1" applyAlignment="1">
      <alignment horizontal="center"/>
    </xf>
    <xf numFmtId="0" fontId="8" fillId="2" borderId="0" xfId="15" applyFont="1" applyFill="1"/>
    <xf numFmtId="0" fontId="2" fillId="2" borderId="0" xfId="15" applyFont="1" applyFill="1" applyBorder="1" applyAlignment="1">
      <alignment horizontal="left"/>
    </xf>
    <xf numFmtId="0" fontId="2" fillId="2" borderId="0" xfId="15" applyFont="1" applyFill="1" applyBorder="1" applyAlignment="1">
      <alignment horizontal="center"/>
    </xf>
    <xf numFmtId="0" fontId="2" fillId="2" borderId="26" xfId="15" applyFont="1" applyFill="1" applyBorder="1" applyAlignment="1">
      <alignment horizontal="left"/>
    </xf>
    <xf numFmtId="0" fontId="2" fillId="2" borderId="0" xfId="15" applyFont="1" applyFill="1" applyBorder="1" applyAlignment="1"/>
    <xf numFmtId="0" fontId="16" fillId="2" borderId="0" xfId="15" applyFont="1" applyFill="1"/>
    <xf numFmtId="0" fontId="2" fillId="2" borderId="27" xfId="15" applyFont="1" applyFill="1" applyBorder="1"/>
    <xf numFmtId="0" fontId="2" fillId="2" borderId="2" xfId="15" applyFont="1" applyFill="1" applyBorder="1"/>
    <xf numFmtId="0" fontId="2" fillId="2" borderId="3" xfId="15" applyFont="1" applyFill="1" applyBorder="1"/>
    <xf numFmtId="0" fontId="16" fillId="2" borderId="2" xfId="15" applyFont="1" applyFill="1" applyBorder="1"/>
    <xf numFmtId="0" fontId="16" fillId="2" borderId="1" xfId="15" applyFont="1" applyFill="1" applyBorder="1"/>
    <xf numFmtId="0" fontId="16" fillId="2" borderId="3" xfId="15" applyFont="1" applyFill="1" applyBorder="1"/>
    <xf numFmtId="0" fontId="16" fillId="2" borderId="28" xfId="15" applyFont="1" applyFill="1" applyBorder="1" applyAlignment="1">
      <alignment wrapText="1"/>
    </xf>
    <xf numFmtId="4" fontId="16" fillId="2" borderId="28" xfId="15" applyNumberFormat="1" applyFont="1" applyFill="1" applyBorder="1" applyAlignment="1">
      <alignment wrapText="1"/>
    </xf>
    <xf numFmtId="0" fontId="16" fillId="2" borderId="28" xfId="15" applyNumberFormat="1" applyFont="1" applyFill="1" applyBorder="1" applyAlignment="1">
      <alignment horizontal="left" wrapText="1"/>
    </xf>
    <xf numFmtId="3" fontId="16" fillId="2" borderId="28" xfId="15" applyNumberFormat="1" applyFont="1" applyFill="1" applyBorder="1" applyAlignment="1">
      <alignment horizontal="center" wrapText="1"/>
    </xf>
    <xf numFmtId="0" fontId="2" fillId="2" borderId="29" xfId="15" applyFont="1" applyFill="1" applyBorder="1" applyAlignment="1">
      <alignment horizontal="center"/>
    </xf>
    <xf numFmtId="0" fontId="2" fillId="2" borderId="21" xfId="15" applyFont="1" applyFill="1" applyBorder="1" applyAlignment="1">
      <alignment horizontal="center"/>
    </xf>
    <xf numFmtId="0" fontId="2" fillId="2" borderId="22" xfId="15" applyFont="1" applyFill="1" applyBorder="1" applyAlignment="1">
      <alignment horizontal="center"/>
    </xf>
    <xf numFmtId="3" fontId="16" fillId="2" borderId="29" xfId="15" applyNumberFormat="1" applyFont="1" applyFill="1" applyBorder="1" applyAlignment="1">
      <alignment wrapText="1"/>
    </xf>
    <xf numFmtId="3" fontId="16" fillId="2" borderId="21" xfId="15" applyNumberFormat="1" applyFont="1" applyFill="1" applyBorder="1" applyAlignment="1">
      <alignment wrapText="1"/>
    </xf>
    <xf numFmtId="3" fontId="2" fillId="2" borderId="21" xfId="15" applyNumberFormat="1" applyFont="1" applyFill="1" applyBorder="1"/>
    <xf numFmtId="3" fontId="2" fillId="2" borderId="22" xfId="15" applyNumberFormat="1" applyFont="1" applyFill="1" applyBorder="1"/>
    <xf numFmtId="0" fontId="2" fillId="2" borderId="0" xfId="15" applyFont="1" applyFill="1" applyBorder="1"/>
    <xf numFmtId="3" fontId="16" fillId="2" borderId="0" xfId="15" applyNumberFormat="1" applyFont="1" applyFill="1" applyBorder="1" applyAlignment="1">
      <alignment horizontal="right"/>
    </xf>
    <xf numFmtId="0" fontId="2" fillId="2" borderId="21" xfId="15" applyFont="1" applyFill="1" applyBorder="1"/>
    <xf numFmtId="4" fontId="2" fillId="2" borderId="21" xfId="15" applyNumberFormat="1" applyFont="1" applyFill="1" applyBorder="1" applyAlignment="1">
      <alignment wrapText="1"/>
    </xf>
    <xf numFmtId="4" fontId="2" fillId="2" borderId="21" xfId="15" applyNumberFormat="1" applyFont="1" applyFill="1" applyBorder="1"/>
    <xf numFmtId="0" fontId="2" fillId="2" borderId="21" xfId="15" applyNumberFormat="1" applyFont="1" applyFill="1" applyBorder="1" applyAlignment="1">
      <alignment horizontal="left" wrapText="1"/>
    </xf>
    <xf numFmtId="3" fontId="2" fillId="2" borderId="21" xfId="15" applyNumberFormat="1" applyFont="1" applyFill="1" applyBorder="1" applyAlignment="1">
      <alignment horizontal="center"/>
    </xf>
    <xf numFmtId="4" fontId="2" fillId="2" borderId="4" xfId="15" applyNumberFormat="1" applyFont="1" applyFill="1" applyBorder="1"/>
    <xf numFmtId="0" fontId="2" fillId="2" borderId="4" xfId="15" applyNumberFormat="1" applyFont="1" applyFill="1" applyBorder="1"/>
    <xf numFmtId="3" fontId="2" fillId="2" borderId="21" xfId="15" applyNumberFormat="1" applyFont="1" applyFill="1" applyBorder="1" applyAlignment="1">
      <alignment horizontal="right"/>
    </xf>
    <xf numFmtId="2" fontId="2" fillId="2" borderId="21" xfId="15" applyNumberFormat="1" applyFont="1" applyFill="1" applyBorder="1" applyAlignment="1" applyProtection="1">
      <alignment horizontal="center" wrapText="1"/>
    </xf>
    <xf numFmtId="2" fontId="2" fillId="2" borderId="21" xfId="15" applyNumberFormat="1" applyFont="1" applyFill="1" applyBorder="1" applyAlignment="1" applyProtection="1"/>
    <xf numFmtId="3" fontId="2" fillId="2" borderId="4" xfId="15" applyNumberFormat="1" applyFont="1" applyFill="1" applyBorder="1"/>
    <xf numFmtId="2" fontId="2" fillId="2" borderId="4" xfId="15" applyNumberFormat="1" applyFont="1" applyFill="1" applyBorder="1" applyAlignment="1" applyProtection="1"/>
    <xf numFmtId="2" fontId="2" fillId="2" borderId="0" xfId="15" applyNumberFormat="1" applyFont="1" applyFill="1" applyBorder="1"/>
    <xf numFmtId="1" fontId="2" fillId="2" borderId="0" xfId="15" applyNumberFormat="1" applyFont="1" applyFill="1" applyBorder="1"/>
    <xf numFmtId="0" fontId="2" fillId="2" borderId="4" xfId="15" applyFont="1" applyFill="1" applyBorder="1"/>
    <xf numFmtId="4" fontId="2" fillId="2" borderId="4" xfId="15" applyNumberFormat="1" applyFont="1" applyFill="1" applyBorder="1" applyAlignment="1">
      <alignment wrapText="1"/>
    </xf>
    <xf numFmtId="0" fontId="2" fillId="2" borderId="4" xfId="15" applyNumberFormat="1" applyFont="1" applyFill="1" applyBorder="1" applyAlignment="1">
      <alignment horizontal="left" wrapText="1"/>
    </xf>
    <xf numFmtId="3" fontId="2" fillId="2" borderId="4" xfId="15" applyNumberFormat="1" applyFont="1" applyFill="1" applyBorder="1" applyAlignment="1">
      <alignment horizontal="center"/>
    </xf>
    <xf numFmtId="3" fontId="2" fillId="2" borderId="4" xfId="15" applyNumberFormat="1" applyFont="1" applyFill="1" applyBorder="1" applyAlignment="1">
      <alignment horizontal="right"/>
    </xf>
    <xf numFmtId="2" fontId="2" fillId="2" borderId="4" xfId="15" applyNumberFormat="1" applyFont="1" applyFill="1" applyBorder="1" applyAlignment="1" applyProtection="1">
      <alignment horizontal="center" wrapText="1"/>
    </xf>
    <xf numFmtId="1" fontId="2" fillId="2" borderId="0" xfId="15" applyNumberFormat="1" applyFont="1" applyFill="1"/>
    <xf numFmtId="4" fontId="2" fillId="2" borderId="4" xfId="15" applyNumberFormat="1" applyFont="1" applyFill="1" applyBorder="1" applyAlignment="1">
      <alignment horizontal="center"/>
    </xf>
    <xf numFmtId="4" fontId="16" fillId="2" borderId="0" xfId="12" applyFont="1" applyFill="1"/>
    <xf numFmtId="4" fontId="16" fillId="2" borderId="4" xfId="12" applyFont="1" applyFill="1" applyBorder="1" applyAlignment="1">
      <alignment wrapText="1"/>
    </xf>
    <xf numFmtId="4" fontId="16" fillId="2" borderId="4" xfId="12" applyFont="1" applyFill="1" applyBorder="1"/>
    <xf numFmtId="4" fontId="16" fillId="2" borderId="4" xfId="12" applyFont="1" applyFill="1" applyBorder="1" applyAlignment="1">
      <alignment horizontal="left" wrapText="1"/>
    </xf>
    <xf numFmtId="4" fontId="16" fillId="2" borderId="4" xfId="12" applyFont="1" applyFill="1" applyBorder="1" applyAlignment="1">
      <alignment horizontal="center"/>
    </xf>
    <xf numFmtId="166" fontId="16" fillId="2" borderId="4" xfId="12" applyNumberFormat="1" applyFont="1" applyFill="1" applyBorder="1" applyAlignment="1">
      <alignment horizontal="right"/>
    </xf>
    <xf numFmtId="3" fontId="16" fillId="2" borderId="0" xfId="15" applyNumberFormat="1" applyFont="1" applyFill="1" applyBorder="1"/>
    <xf numFmtId="1" fontId="16" fillId="2" borderId="0" xfId="15" applyNumberFormat="1" applyFont="1" applyFill="1"/>
    <xf numFmtId="4" fontId="16" fillId="2" borderId="4" xfId="12" applyFont="1" applyFill="1" applyBorder="1" applyAlignment="1">
      <alignment horizontal="center" wrapText="1"/>
    </xf>
    <xf numFmtId="166" fontId="16" fillId="2" borderId="4" xfId="12" applyNumberFormat="1" applyFont="1" applyFill="1" applyBorder="1"/>
    <xf numFmtId="0" fontId="2" fillId="2" borderId="0" xfId="15" applyFont="1" applyFill="1" applyBorder="1" applyAlignment="1">
      <alignment wrapText="1"/>
    </xf>
    <xf numFmtId="0" fontId="2" fillId="2" borderId="0" xfId="15" applyNumberFormat="1" applyFont="1" applyFill="1" applyBorder="1" applyAlignment="1">
      <alignment horizontal="left" wrapText="1"/>
    </xf>
    <xf numFmtId="3" fontId="2" fillId="2" borderId="0" xfId="15" applyNumberFormat="1" applyFont="1" applyFill="1" applyBorder="1" applyAlignment="1">
      <alignment horizontal="right"/>
    </xf>
    <xf numFmtId="3" fontId="2" fillId="2" borderId="0" xfId="15" applyNumberFormat="1" applyFont="1" applyFill="1" applyBorder="1"/>
    <xf numFmtId="3" fontId="2" fillId="2" borderId="0" xfId="15" applyNumberFormat="1" applyFont="1" applyFill="1" applyBorder="1" applyAlignment="1">
      <alignment horizontal="center" wrapText="1"/>
    </xf>
    <xf numFmtId="0" fontId="2" fillId="2" borderId="0" xfId="15" applyFont="1" applyFill="1" applyAlignment="1">
      <alignment wrapText="1"/>
    </xf>
    <xf numFmtId="0" fontId="2" fillId="2" borderId="0" xfId="15" applyFont="1" applyFill="1" applyAlignment="1">
      <alignment horizontal="left"/>
    </xf>
    <xf numFmtId="0" fontId="2" fillId="2" borderId="0" xfId="15" applyNumberFormat="1" applyFont="1" applyFill="1" applyAlignment="1">
      <alignment horizontal="left" wrapText="1"/>
    </xf>
    <xf numFmtId="3" fontId="2" fillId="2" borderId="0" xfId="15" applyNumberFormat="1" applyFont="1" applyFill="1" applyAlignment="1">
      <alignment horizontal="right"/>
    </xf>
    <xf numFmtId="3" fontId="2" fillId="2" borderId="0" xfId="15" applyNumberFormat="1" applyFont="1" applyFill="1"/>
    <xf numFmtId="3" fontId="2" fillId="2" borderId="0" xfId="15" applyNumberFormat="1" applyFont="1" applyFill="1" applyAlignment="1">
      <alignment horizontal="center" wrapText="1"/>
    </xf>
    <xf numFmtId="0" fontId="7" fillId="6" borderId="0" xfId="1" applyFont="1" applyFill="1"/>
    <xf numFmtId="0" fontId="2" fillId="6" borderId="0" xfId="1" applyFont="1" applyFill="1"/>
    <xf numFmtId="0" fontId="2" fillId="2" borderId="0" xfId="1" applyFont="1" applyFill="1" applyBorder="1"/>
    <xf numFmtId="0" fontId="5" fillId="6" borderId="0" xfId="1" applyFont="1" applyFill="1"/>
    <xf numFmtId="0" fontId="2" fillId="2" borderId="0" xfId="1" applyFont="1" applyFill="1" applyBorder="1" applyAlignment="1"/>
    <xf numFmtId="0" fontId="16" fillId="6" borderId="28"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6" borderId="30" xfId="1" applyFont="1" applyFill="1" applyBorder="1" applyAlignment="1">
      <alignment horizontal="center" vertical="center" wrapText="1"/>
    </xf>
    <xf numFmtId="0" fontId="16" fillId="6" borderId="31" xfId="1" applyFont="1" applyFill="1" applyBorder="1" applyAlignment="1">
      <alignment horizontal="center" vertical="center" wrapText="1"/>
    </xf>
    <xf numFmtId="0" fontId="16" fillId="6" borderId="32" xfId="1" applyFont="1" applyFill="1" applyBorder="1" applyAlignment="1">
      <alignment horizontal="center" vertical="center" wrapText="1"/>
    </xf>
    <xf numFmtId="0" fontId="16" fillId="6" borderId="0" xfId="1" applyFont="1" applyFill="1" applyAlignment="1">
      <alignment horizontal="center" vertical="center" wrapText="1"/>
    </xf>
    <xf numFmtId="167" fontId="2" fillId="7" borderId="33" xfId="3" applyNumberFormat="1" applyFont="1" applyFill="1" applyBorder="1" applyAlignment="1">
      <alignment wrapText="1"/>
    </xf>
    <xf numFmtId="167" fontId="2" fillId="7" borderId="33" xfId="3" applyNumberFormat="1" applyFont="1" applyFill="1" applyBorder="1" applyAlignment="1">
      <alignment horizontal="left" wrapText="1"/>
    </xf>
    <xf numFmtId="167" fontId="2" fillId="2" borderId="0" xfId="3" applyNumberFormat="1" applyFont="1" applyFill="1" applyBorder="1"/>
    <xf numFmtId="167" fontId="2" fillId="7" borderId="6" xfId="3" applyNumberFormat="1" applyFont="1" applyFill="1" applyBorder="1" applyAlignment="1">
      <alignment vertical="center" wrapText="1"/>
    </xf>
    <xf numFmtId="42" fontId="2" fillId="7" borderId="7" xfId="3" applyNumberFormat="1" applyFont="1" applyFill="1" applyBorder="1" applyAlignment="1">
      <alignment vertical="center"/>
    </xf>
    <xf numFmtId="167" fontId="2" fillId="2" borderId="0" xfId="3" applyNumberFormat="1" applyFont="1" applyFill="1" applyBorder="1" applyAlignment="1">
      <alignment vertical="center"/>
    </xf>
    <xf numFmtId="42" fontId="2" fillId="7" borderId="34" xfId="3" applyNumberFormat="1" applyFont="1" applyFill="1" applyBorder="1" applyAlignment="1">
      <alignment vertical="center"/>
    </xf>
    <xf numFmtId="167" fontId="2" fillId="7" borderId="7" xfId="3" applyNumberFormat="1" applyFont="1" applyFill="1" applyBorder="1" applyAlignment="1">
      <alignment horizontal="center" vertical="center"/>
    </xf>
    <xf numFmtId="0" fontId="2" fillId="6" borderId="35" xfId="1" applyFont="1" applyFill="1" applyBorder="1" applyAlignment="1">
      <alignment wrapText="1"/>
    </xf>
    <xf numFmtId="167" fontId="2" fillId="6" borderId="35" xfId="3" applyNumberFormat="1" applyFont="1" applyFill="1" applyBorder="1" applyAlignment="1">
      <alignment wrapText="1"/>
    </xf>
    <xf numFmtId="167" fontId="2" fillId="2" borderId="0" xfId="3" applyNumberFormat="1" applyFont="1" applyFill="1" applyBorder="1" applyAlignment="1">
      <alignment wrapText="1"/>
    </xf>
    <xf numFmtId="167" fontId="2" fillId="6" borderId="20" xfId="3" applyNumberFormat="1" applyFont="1" applyFill="1" applyBorder="1" applyAlignment="1">
      <alignment wrapText="1"/>
    </xf>
    <xf numFmtId="42" fontId="2" fillId="6" borderId="23" xfId="3" applyNumberFormat="1" applyFont="1" applyFill="1" applyBorder="1"/>
    <xf numFmtId="167" fontId="2" fillId="6" borderId="21" xfId="3" applyNumberFormat="1" applyFont="1" applyFill="1" applyBorder="1" applyAlignment="1">
      <alignment wrapText="1"/>
    </xf>
    <xf numFmtId="42" fontId="2" fillId="6" borderId="23" xfId="3" applyNumberFormat="1" applyFont="1" applyFill="1" applyBorder="1" applyAlignment="1">
      <alignment horizontal="center" wrapText="1"/>
    </xf>
    <xf numFmtId="0" fontId="2" fillId="6" borderId="36" xfId="1" applyFont="1" applyFill="1" applyBorder="1" applyAlignment="1">
      <alignment wrapText="1"/>
    </xf>
    <xf numFmtId="167" fontId="2" fillId="6" borderId="36" xfId="3" applyNumberFormat="1" applyFont="1" applyFill="1" applyBorder="1" applyAlignment="1">
      <alignment wrapText="1"/>
    </xf>
    <xf numFmtId="167" fontId="2" fillId="6" borderId="9" xfId="3" applyNumberFormat="1" applyFont="1" applyFill="1" applyBorder="1" applyAlignment="1">
      <alignment wrapText="1"/>
    </xf>
    <xf numFmtId="42" fontId="2" fillId="6" borderId="10" xfId="3" applyNumberFormat="1" applyFont="1" applyFill="1" applyBorder="1"/>
    <xf numFmtId="0" fontId="2" fillId="6" borderId="9" xfId="1" applyFont="1" applyFill="1" applyBorder="1" applyAlignment="1">
      <alignment wrapText="1"/>
    </xf>
    <xf numFmtId="0" fontId="2" fillId="6" borderId="4" xfId="1" applyFont="1" applyFill="1" applyBorder="1" applyAlignment="1">
      <alignment wrapText="1"/>
    </xf>
    <xf numFmtId="42" fontId="2" fillId="6" borderId="10" xfId="1" applyNumberFormat="1" applyFont="1" applyFill="1" applyBorder="1" applyAlignment="1">
      <alignment horizontal="center" wrapText="1"/>
    </xf>
    <xf numFmtId="0" fontId="7" fillId="7" borderId="37" xfId="1" applyFont="1" applyFill="1" applyBorder="1" applyAlignment="1">
      <alignment horizontal="left"/>
    </xf>
    <xf numFmtId="167" fontId="2" fillId="7" borderId="37" xfId="3" applyNumberFormat="1" applyFont="1" applyFill="1" applyBorder="1"/>
    <xf numFmtId="167" fontId="2" fillId="7" borderId="12" xfId="3" applyNumberFormat="1" applyFont="1" applyFill="1" applyBorder="1"/>
    <xf numFmtId="42" fontId="2" fillId="7" borderId="13" xfId="3" applyNumberFormat="1" applyFont="1" applyFill="1" applyBorder="1"/>
    <xf numFmtId="167" fontId="2" fillId="7" borderId="12" xfId="3" applyNumberFormat="1" applyFont="1" applyFill="1" applyBorder="1" applyAlignment="1">
      <alignment wrapText="1"/>
    </xf>
    <xf numFmtId="42" fontId="2" fillId="7" borderId="24" xfId="3" applyNumberFormat="1" applyFont="1" applyFill="1" applyBorder="1"/>
    <xf numFmtId="167" fontId="2" fillId="7" borderId="13" xfId="3" applyNumberFormat="1" applyFont="1" applyFill="1" applyBorder="1"/>
    <xf numFmtId="0" fontId="18" fillId="6" borderId="0" xfId="1" applyFont="1" applyFill="1"/>
    <xf numFmtId="0" fontId="3" fillId="6" borderId="0" xfId="1" applyFont="1" applyFill="1" applyAlignment="1">
      <alignment horizontal="left" vertical="center"/>
    </xf>
    <xf numFmtId="0" fontId="16" fillId="6" borderId="0" xfId="1" applyFont="1" applyFill="1" applyAlignment="1">
      <alignment horizontal="left" vertical="center"/>
    </xf>
    <xf numFmtId="0" fontId="8" fillId="6" borderId="0" xfId="1" applyFont="1" applyFill="1" applyAlignment="1">
      <alignment horizontal="left" vertical="center"/>
    </xf>
    <xf numFmtId="0" fontId="2" fillId="6" borderId="0" xfId="1" applyFont="1" applyFill="1" applyAlignment="1">
      <alignment horizontal="left" vertical="center"/>
    </xf>
    <xf numFmtId="0" fontId="16" fillId="6" borderId="0" xfId="1" applyFont="1" applyFill="1"/>
    <xf numFmtId="0" fontId="16" fillId="6" borderId="0" xfId="1" quotePrefix="1" applyFont="1" applyFill="1" applyAlignment="1">
      <alignment horizontal="left"/>
    </xf>
    <xf numFmtId="0" fontId="2" fillId="6" borderId="4" xfId="1" quotePrefix="1" applyFont="1" applyFill="1" applyBorder="1" applyAlignment="1">
      <alignment horizontal="left"/>
    </xf>
    <xf numFmtId="0" fontId="2" fillId="6" borderId="4" xfId="1" quotePrefix="1" applyFont="1" applyFill="1" applyBorder="1" applyAlignment="1">
      <alignment horizontal="left" wrapText="1"/>
    </xf>
    <xf numFmtId="0" fontId="2" fillId="6" borderId="4" xfId="1" applyFont="1" applyFill="1" applyBorder="1"/>
    <xf numFmtId="0" fontId="2" fillId="6" borderId="4" xfId="1" applyFont="1" applyFill="1" applyBorder="1" applyAlignment="1">
      <alignment horizontal="center"/>
    </xf>
    <xf numFmtId="0" fontId="3" fillId="2" borderId="0" xfId="1" applyFont="1" applyFill="1"/>
    <xf numFmtId="0" fontId="4" fillId="2" borderId="0" xfId="1" applyFont="1" applyFill="1"/>
    <xf numFmtId="0" fontId="6" fillId="2" borderId="0" xfId="1" applyFont="1" applyFill="1" applyBorder="1" applyAlignment="1"/>
    <xf numFmtId="0" fontId="5" fillId="2" borderId="0" xfId="1" applyFont="1" applyFill="1" applyBorder="1" applyAlignment="1"/>
    <xf numFmtId="0" fontId="9" fillId="2" borderId="0" xfId="1" applyFont="1" applyFill="1"/>
    <xf numFmtId="0" fontId="5" fillId="2" borderId="0" xfId="1" applyFont="1" applyFill="1" applyBorder="1" applyAlignment="1">
      <alignment horizontal="left"/>
    </xf>
    <xf numFmtId="0" fontId="4" fillId="2" borderId="0" xfId="1" applyFont="1" applyFill="1" applyBorder="1" applyAlignment="1">
      <alignment horizontal="left"/>
    </xf>
    <xf numFmtId="164" fontId="5" fillId="2" borderId="0" xfId="7" applyNumberFormat="1" applyFont="1" applyFill="1"/>
    <xf numFmtId="0" fontId="5" fillId="2" borderId="0" xfId="1" applyFont="1" applyFill="1" applyBorder="1" applyAlignment="1">
      <alignment horizontal="left" indent="1"/>
    </xf>
    <xf numFmtId="0" fontId="5" fillId="2" borderId="0" xfId="1" applyFont="1" applyFill="1" applyBorder="1"/>
    <xf numFmtId="0" fontId="4" fillId="2" borderId="6" xfId="1" applyFont="1" applyFill="1" applyBorder="1"/>
    <xf numFmtId="0" fontId="13" fillId="2" borderId="34" xfId="1" applyFont="1" applyFill="1" applyBorder="1"/>
    <xf numFmtId="0" fontId="5" fillId="2" borderId="34" xfId="1" applyFont="1" applyFill="1" applyBorder="1"/>
    <xf numFmtId="0" fontId="13" fillId="2" borderId="34" xfId="1" applyFont="1" applyFill="1" applyBorder="1" applyAlignment="1">
      <alignment horizontal="center"/>
    </xf>
    <xf numFmtId="0" fontId="13" fillId="2" borderId="7" xfId="1" applyFont="1" applyFill="1" applyBorder="1" applyAlignment="1">
      <alignment horizontal="center"/>
    </xf>
    <xf numFmtId="0" fontId="2" fillId="2" borderId="0" xfId="1" applyFont="1" applyFill="1"/>
    <xf numFmtId="49" fontId="14" fillId="4" borderId="12" xfId="1" applyNumberFormat="1" applyFont="1" applyFill="1" applyBorder="1" applyAlignment="1">
      <alignment horizontal="center" wrapText="1"/>
    </xf>
    <xf numFmtId="49" fontId="14" fillId="4" borderId="24" xfId="1" applyNumberFormat="1" applyFont="1" applyFill="1" applyBorder="1" applyAlignment="1">
      <alignment horizontal="center" wrapText="1"/>
    </xf>
    <xf numFmtId="49" fontId="14" fillId="4" borderId="13" xfId="1" applyNumberFormat="1" applyFont="1" applyFill="1" applyBorder="1" applyAlignment="1">
      <alignment horizontal="center" wrapText="1"/>
    </xf>
    <xf numFmtId="0" fontId="2" fillId="2" borderId="0" xfId="1" applyFont="1" applyFill="1" applyAlignment="1">
      <alignment horizontal="center" wrapText="1"/>
    </xf>
    <xf numFmtId="49" fontId="14" fillId="2" borderId="20" xfId="1" applyNumberFormat="1" applyFont="1" applyFill="1" applyBorder="1" applyAlignment="1">
      <alignment vertical="top"/>
    </xf>
    <xf numFmtId="49" fontId="14" fillId="2" borderId="21" xfId="1" applyNumberFormat="1" applyFont="1" applyFill="1" applyBorder="1" applyAlignment="1">
      <alignment vertical="top"/>
    </xf>
    <xf numFmtId="49" fontId="14" fillId="2" borderId="9" xfId="1" applyNumberFormat="1" applyFont="1" applyFill="1" applyBorder="1" applyAlignment="1">
      <alignment vertical="top"/>
    </xf>
    <xf numFmtId="49" fontId="14" fillId="2" borderId="4" xfId="1" applyNumberFormat="1" applyFont="1" applyFill="1" applyBorder="1" applyAlignment="1">
      <alignment vertical="top"/>
    </xf>
    <xf numFmtId="165" fontId="14" fillId="2" borderId="4" xfId="1" applyNumberFormat="1" applyFont="1" applyFill="1" applyBorder="1" applyAlignment="1">
      <alignment vertical="top"/>
    </xf>
    <xf numFmtId="165" fontId="14" fillId="2" borderId="5" xfId="1" applyNumberFormat="1" applyFont="1" applyFill="1" applyBorder="1" applyAlignment="1">
      <alignment vertical="top"/>
    </xf>
    <xf numFmtId="165" fontId="14" fillId="2" borderId="10" xfId="1" applyNumberFormat="1" applyFont="1" applyFill="1" applyBorder="1" applyAlignment="1">
      <alignment vertical="top"/>
    </xf>
    <xf numFmtId="49" fontId="14" fillId="2" borderId="12" xfId="1" applyNumberFormat="1" applyFont="1" applyFill="1" applyBorder="1" applyAlignment="1">
      <alignment vertical="top"/>
    </xf>
    <xf numFmtId="49" fontId="14" fillId="2" borderId="24" xfId="1" applyNumberFormat="1" applyFont="1" applyFill="1" applyBorder="1" applyAlignment="1">
      <alignment vertical="top"/>
    </xf>
    <xf numFmtId="165" fontId="14" fillId="2" borderId="24" xfId="1" applyNumberFormat="1" applyFont="1" applyFill="1" applyBorder="1" applyAlignment="1">
      <alignment vertical="top"/>
    </xf>
    <xf numFmtId="165" fontId="14" fillId="2" borderId="25" xfId="1" applyNumberFormat="1" applyFont="1" applyFill="1" applyBorder="1" applyAlignment="1">
      <alignment vertical="top"/>
    </xf>
    <xf numFmtId="165" fontId="14" fillId="2" borderId="13" xfId="1" applyNumberFormat="1" applyFont="1" applyFill="1" applyBorder="1" applyAlignment="1">
      <alignment vertical="top"/>
    </xf>
    <xf numFmtId="0" fontId="19" fillId="2" borderId="0" xfId="1" applyFont="1" applyFill="1"/>
    <xf numFmtId="0" fontId="20" fillId="2" borderId="0" xfId="1" applyFont="1" applyFill="1"/>
    <xf numFmtId="0" fontId="5" fillId="2" borderId="33" xfId="1" applyFont="1" applyFill="1" applyBorder="1" applyAlignment="1">
      <alignment vertical="center" wrapText="1"/>
    </xf>
    <xf numFmtId="0" fontId="4" fillId="2" borderId="1" xfId="1" applyFont="1" applyFill="1" applyBorder="1" applyAlignment="1"/>
    <xf numFmtId="0" fontId="4" fillId="2" borderId="2" xfId="1" applyFont="1" applyFill="1" applyBorder="1" applyAlignment="1"/>
    <xf numFmtId="0" fontId="4" fillId="2" borderId="2" xfId="1" applyFont="1" applyFill="1" applyBorder="1" applyAlignment="1">
      <alignment horizontal="left"/>
    </xf>
    <xf numFmtId="0" fontId="5" fillId="2" borderId="36" xfId="1" applyFont="1" applyFill="1" applyBorder="1"/>
    <xf numFmtId="0" fontId="22" fillId="2" borderId="0" xfId="1" applyFont="1" applyFill="1" applyBorder="1" applyAlignment="1">
      <alignment horizontal="left" wrapText="1"/>
    </xf>
    <xf numFmtId="0" fontId="5" fillId="2" borderId="37" xfId="1" applyFont="1" applyFill="1" applyBorder="1"/>
    <xf numFmtId="0" fontId="21" fillId="2" borderId="0" xfId="1" applyFont="1" applyFill="1" applyBorder="1" applyAlignment="1">
      <alignment wrapText="1"/>
    </xf>
    <xf numFmtId="0" fontId="5" fillId="4" borderId="30"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2" borderId="9" xfId="1" applyFont="1" applyFill="1" applyBorder="1" applyAlignment="1">
      <alignment horizontal="center"/>
    </xf>
    <xf numFmtId="0" fontId="5" fillId="2" borderId="4" xfId="1" applyFont="1" applyFill="1" applyBorder="1" applyAlignment="1">
      <alignment horizontal="center"/>
    </xf>
    <xf numFmtId="0" fontId="5" fillId="2" borderId="4" xfId="1" applyFont="1" applyFill="1" applyBorder="1" applyAlignment="1">
      <alignment wrapText="1"/>
    </xf>
    <xf numFmtId="44" fontId="5" fillId="2" borderId="4" xfId="7" applyFont="1" applyFill="1" applyBorder="1"/>
    <xf numFmtId="37" fontId="5" fillId="2" borderId="4" xfId="7" applyNumberFormat="1" applyFont="1" applyFill="1" applyBorder="1"/>
    <xf numFmtId="9" fontId="5" fillId="2" borderId="4" xfId="17" applyFont="1" applyFill="1" applyBorder="1"/>
    <xf numFmtId="0" fontId="5" fillId="2" borderId="4" xfId="7" applyNumberFormat="1" applyFont="1" applyFill="1" applyBorder="1"/>
    <xf numFmtId="9" fontId="5" fillId="2" borderId="4" xfId="7" applyNumberFormat="1" applyFont="1" applyFill="1" applyBorder="1"/>
    <xf numFmtId="44" fontId="5" fillId="2" borderId="10" xfId="7" applyFont="1" applyFill="1" applyBorder="1"/>
    <xf numFmtId="9" fontId="5" fillId="2" borderId="4" xfId="1" applyNumberFormat="1" applyFont="1" applyFill="1" applyBorder="1"/>
    <xf numFmtId="0" fontId="4" fillId="2" borderId="0" xfId="1" applyFont="1" applyFill="1" applyAlignment="1">
      <alignment horizontal="right"/>
    </xf>
    <xf numFmtId="0" fontId="6" fillId="2" borderId="0" xfId="1" applyFont="1" applyFill="1"/>
    <xf numFmtId="0" fontId="25" fillId="2" borderId="0" xfId="13" applyFont="1" applyFill="1" applyAlignment="1" applyProtection="1"/>
    <xf numFmtId="0" fontId="5" fillId="2" borderId="21" xfId="1" applyFont="1" applyFill="1" applyBorder="1" applyAlignment="1">
      <alignment wrapText="1"/>
    </xf>
    <xf numFmtId="0" fontId="5" fillId="2" borderId="23" xfId="1" applyFont="1" applyFill="1" applyBorder="1"/>
    <xf numFmtId="0" fontId="3" fillId="2" borderId="0" xfId="1" quotePrefix="1" applyFont="1" applyFill="1" applyAlignment="1">
      <alignment horizontal="left"/>
    </xf>
    <xf numFmtId="0" fontId="16" fillId="2" borderId="0" xfId="1" quotePrefix="1" applyFont="1" applyFill="1" applyAlignment="1">
      <alignment horizontal="left"/>
    </xf>
    <xf numFmtId="0" fontId="7" fillId="2" borderId="0" xfId="1" applyFont="1" applyFill="1" applyBorder="1" applyAlignment="1">
      <alignment vertical="center"/>
    </xf>
    <xf numFmtId="0" fontId="8" fillId="2" borderId="0" xfId="1" applyFont="1" applyFill="1" applyBorder="1"/>
    <xf numFmtId="0" fontId="8" fillId="2" borderId="27" xfId="1" applyFont="1" applyFill="1" applyBorder="1"/>
    <xf numFmtId="0" fontId="4" fillId="4" borderId="1" xfId="1" applyFont="1" applyFill="1" applyBorder="1" applyAlignment="1">
      <alignment horizontal="center" vertical="center" wrapText="1"/>
    </xf>
    <xf numFmtId="0" fontId="4" fillId="4" borderId="30" xfId="1" quotePrefix="1" applyFont="1" applyFill="1" applyBorder="1" applyAlignment="1">
      <alignment horizontal="center" vertical="center" wrapText="1"/>
    </xf>
    <xf numFmtId="0" fontId="4" fillId="4" borderId="41" xfId="1" quotePrefix="1" applyFont="1" applyFill="1" applyBorder="1" applyAlignment="1">
      <alignment horizontal="center" vertical="center" wrapText="1"/>
    </xf>
    <xf numFmtId="0" fontId="4" fillId="4" borderId="41" xfId="1" applyFont="1" applyFill="1" applyBorder="1" applyAlignment="1">
      <alignment horizontal="center" vertical="center" wrapText="1"/>
    </xf>
    <xf numFmtId="0" fontId="4" fillId="4" borderId="31" xfId="1" applyFont="1" applyFill="1" applyBorder="1" applyAlignment="1">
      <alignment horizontal="center" vertical="center"/>
    </xf>
    <xf numFmtId="0" fontId="4" fillId="2" borderId="0" xfId="1" applyFont="1" applyFill="1" applyAlignment="1">
      <alignment horizontal="center"/>
    </xf>
    <xf numFmtId="0" fontId="5" fillId="2" borderId="42" xfId="1" applyFont="1" applyFill="1" applyBorder="1" applyAlignment="1">
      <alignment wrapText="1"/>
    </xf>
    <xf numFmtId="0" fontId="5" fillId="2" borderId="20" xfId="1" applyFont="1" applyFill="1" applyBorder="1" applyAlignment="1">
      <alignment wrapText="1"/>
    </xf>
    <xf numFmtId="0" fontId="5" fillId="2" borderId="43" xfId="1" applyFont="1" applyFill="1" applyBorder="1" applyAlignment="1">
      <alignment wrapText="1"/>
    </xf>
    <xf numFmtId="0" fontId="5" fillId="2" borderId="44" xfId="1" applyFont="1" applyFill="1" applyBorder="1" applyAlignment="1">
      <alignment wrapText="1"/>
    </xf>
    <xf numFmtId="0" fontId="5" fillId="2" borderId="24" xfId="1" applyFont="1" applyFill="1" applyBorder="1" applyAlignment="1">
      <alignment wrapText="1"/>
    </xf>
    <xf numFmtId="0" fontId="4" fillId="2" borderId="0" xfId="1" quotePrefix="1" applyFont="1" applyFill="1" applyBorder="1" applyAlignment="1">
      <alignment horizontal="right" wrapText="1"/>
    </xf>
    <xf numFmtId="44" fontId="4" fillId="2" borderId="30" xfId="11" applyFont="1" applyFill="1" applyBorder="1" applyAlignment="1">
      <alignment wrapText="1"/>
    </xf>
    <xf numFmtId="44" fontId="4" fillId="2" borderId="32" xfId="11" applyFont="1" applyFill="1" applyBorder="1" applyAlignment="1">
      <alignment wrapText="1"/>
    </xf>
    <xf numFmtId="0" fontId="4" fillId="2" borderId="31" xfId="1" applyFont="1" applyFill="1" applyBorder="1"/>
    <xf numFmtId="44" fontId="4" fillId="2" borderId="0" xfId="11" applyFont="1" applyFill="1" applyBorder="1" applyAlignment="1">
      <alignment wrapText="1"/>
    </xf>
    <xf numFmtId="0" fontId="4" fillId="2" borderId="0" xfId="1" applyFont="1" applyFill="1" applyBorder="1"/>
    <xf numFmtId="0" fontId="7" fillId="2" borderId="0" xfId="1" applyFont="1" applyFill="1" applyAlignment="1">
      <alignment vertical="center"/>
    </xf>
    <xf numFmtId="0" fontId="5" fillId="2" borderId="0" xfId="1" applyFont="1" applyFill="1" applyBorder="1" applyAlignment="1">
      <alignment wrapText="1"/>
    </xf>
    <xf numFmtId="0" fontId="26" fillId="2" borderId="0" xfId="13" applyFont="1" applyFill="1" applyAlignment="1" applyProtection="1"/>
    <xf numFmtId="0" fontId="3" fillId="6" borderId="0" xfId="1" applyFont="1" applyFill="1"/>
    <xf numFmtId="0" fontId="6" fillId="6" borderId="0" xfId="1" applyFont="1" applyFill="1"/>
    <xf numFmtId="164" fontId="6" fillId="6" borderId="0" xfId="10" applyNumberFormat="1" applyFont="1" applyFill="1"/>
    <xf numFmtId="9" fontId="6" fillId="6" borderId="0" xfId="20" applyFont="1" applyFill="1"/>
    <xf numFmtId="0" fontId="8" fillId="6" borderId="0" xfId="1" applyFont="1" applyFill="1"/>
    <xf numFmtId="164" fontId="2" fillId="6" borderId="0" xfId="10" applyNumberFormat="1" applyFont="1" applyFill="1"/>
    <xf numFmtId="9" fontId="2" fillId="6" borderId="0" xfId="20" applyFont="1" applyFill="1"/>
    <xf numFmtId="0" fontId="4" fillId="0" borderId="45" xfId="1" applyFont="1" applyBorder="1" applyAlignment="1">
      <alignment horizontal="centerContinuous" vertical="center" wrapText="1"/>
    </xf>
    <xf numFmtId="0" fontId="4" fillId="0" borderId="46" xfId="1" applyFont="1" applyBorder="1" applyAlignment="1">
      <alignment horizontal="centerContinuous" vertical="center" wrapText="1"/>
    </xf>
    <xf numFmtId="0" fontId="5" fillId="6" borderId="0" xfId="1" applyFont="1" applyFill="1" applyAlignment="1">
      <alignment wrapText="1"/>
    </xf>
    <xf numFmtId="0" fontId="2" fillId="6" borderId="0" xfId="1" applyFont="1" applyFill="1" applyAlignment="1">
      <alignment vertical="center" wrapText="1"/>
    </xf>
    <xf numFmtId="0" fontId="2" fillId="0" borderId="52"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13" xfId="1" applyFont="1" applyBorder="1" applyAlignment="1">
      <alignment horizontal="center" vertical="center" wrapText="1"/>
    </xf>
    <xf numFmtId="0" fontId="16" fillId="6" borderId="0" xfId="1" applyFont="1" applyFill="1" applyBorder="1" applyAlignment="1">
      <alignment horizontal="center" vertical="center"/>
    </xf>
    <xf numFmtId="0" fontId="2" fillId="0" borderId="55" xfId="1" applyFont="1" applyBorder="1"/>
    <xf numFmtId="164" fontId="2" fillId="0" borderId="6" xfId="10" applyNumberFormat="1" applyFont="1" applyBorder="1"/>
    <xf numFmtId="9" fontId="2" fillId="0" borderId="49" xfId="20" applyFont="1" applyBorder="1"/>
    <xf numFmtId="164" fontId="2" fillId="0" borderId="49" xfId="10" applyNumberFormat="1" applyFont="1" applyBorder="1"/>
    <xf numFmtId="43" fontId="2" fillId="0" borderId="7" xfId="2" applyFont="1" applyBorder="1"/>
    <xf numFmtId="164" fontId="2" fillId="9" borderId="6" xfId="10" applyNumberFormat="1" applyFont="1" applyFill="1" applyBorder="1"/>
    <xf numFmtId="164" fontId="2" fillId="9" borderId="15" xfId="10" applyNumberFormat="1" applyFont="1" applyFill="1" applyBorder="1"/>
    <xf numFmtId="43" fontId="2" fillId="9" borderId="49" xfId="2" applyFont="1" applyFill="1" applyBorder="1"/>
    <xf numFmtId="0" fontId="2" fillId="9" borderId="7" xfId="1" applyFont="1" applyFill="1" applyBorder="1"/>
    <xf numFmtId="0" fontId="16" fillId="6" borderId="0" xfId="1" applyFont="1" applyFill="1" applyBorder="1" applyAlignment="1">
      <alignment horizontal="center" vertical="top"/>
    </xf>
    <xf numFmtId="0" fontId="2" fillId="0" borderId="9" xfId="1" applyFont="1" applyBorder="1"/>
    <xf numFmtId="0" fontId="2" fillId="0" borderId="8" xfId="1" applyFont="1" applyBorder="1"/>
    <xf numFmtId="0" fontId="2" fillId="0" borderId="4" xfId="1" applyFont="1" applyBorder="1"/>
    <xf numFmtId="164" fontId="2" fillId="0" borderId="9" xfId="10" applyNumberFormat="1" applyFont="1" applyBorder="1"/>
    <xf numFmtId="9" fontId="2" fillId="0" borderId="5" xfId="20" applyFont="1" applyBorder="1"/>
    <xf numFmtId="164" fontId="2" fillId="0" borderId="5" xfId="10" applyNumberFormat="1" applyFont="1" applyBorder="1"/>
    <xf numFmtId="43" fontId="2" fillId="0" borderId="10" xfId="2" applyFont="1" applyBorder="1"/>
    <xf numFmtId="164" fontId="2" fillId="9" borderId="9" xfId="10" applyNumberFormat="1" applyFont="1" applyFill="1" applyBorder="1"/>
    <xf numFmtId="164" fontId="2" fillId="9" borderId="11" xfId="10" applyNumberFormat="1" applyFont="1" applyFill="1" applyBorder="1"/>
    <xf numFmtId="43" fontId="2" fillId="9" borderId="5" xfId="2" applyFont="1" applyFill="1" applyBorder="1"/>
    <xf numFmtId="0" fontId="2" fillId="9" borderId="10" xfId="1" applyFont="1" applyFill="1" applyBorder="1"/>
    <xf numFmtId="0" fontId="2" fillId="0" borderId="12" xfId="1" applyFont="1" applyBorder="1"/>
    <xf numFmtId="0" fontId="2" fillId="0" borderId="52" xfId="1" applyFont="1" applyBorder="1"/>
    <xf numFmtId="0" fontId="2" fillId="0" borderId="24" xfId="1" applyFont="1" applyBorder="1"/>
    <xf numFmtId="164" fontId="2" fillId="0" borderId="12" xfId="10" applyNumberFormat="1" applyFont="1" applyBorder="1"/>
    <xf numFmtId="9" fontId="2" fillId="0" borderId="25" xfId="20" applyFont="1" applyBorder="1"/>
    <xf numFmtId="164" fontId="2" fillId="0" borderId="25" xfId="10" applyNumberFormat="1" applyFont="1" applyBorder="1"/>
    <xf numFmtId="43" fontId="2" fillId="0" borderId="13" xfId="2" applyFont="1" applyBorder="1"/>
    <xf numFmtId="164" fontId="2" fillId="9" borderId="12" xfId="10" applyNumberFormat="1" applyFont="1" applyFill="1" applyBorder="1"/>
    <xf numFmtId="164" fontId="2" fillId="9" borderId="53" xfId="10" applyNumberFormat="1" applyFont="1" applyFill="1" applyBorder="1"/>
    <xf numFmtId="43" fontId="2" fillId="9" borderId="25" xfId="2" applyFont="1" applyFill="1" applyBorder="1"/>
    <xf numFmtId="0" fontId="2" fillId="9" borderId="13" xfId="1" applyFont="1" applyFill="1" applyBorder="1"/>
    <xf numFmtId="164" fontId="16" fillId="10" borderId="1" xfId="10" applyNumberFormat="1" applyFont="1" applyFill="1" applyBorder="1"/>
    <xf numFmtId="9" fontId="16" fillId="10" borderId="32" xfId="20" applyFont="1" applyFill="1" applyBorder="1"/>
    <xf numFmtId="164" fontId="16" fillId="10" borderId="2" xfId="10" applyNumberFormat="1" applyFont="1" applyFill="1" applyBorder="1"/>
    <xf numFmtId="43" fontId="16" fillId="10" borderId="2" xfId="2" applyFont="1" applyFill="1" applyBorder="1"/>
    <xf numFmtId="43" fontId="16" fillId="10" borderId="31" xfId="2" applyFont="1" applyFill="1" applyBorder="1"/>
    <xf numFmtId="164" fontId="16" fillId="10" borderId="30" xfId="10" applyNumberFormat="1" applyFont="1" applyFill="1" applyBorder="1"/>
    <xf numFmtId="0" fontId="2" fillId="0" borderId="0" xfId="1" applyFont="1"/>
    <xf numFmtId="43" fontId="2" fillId="6" borderId="0" xfId="2" applyFont="1" applyFill="1"/>
    <xf numFmtId="0" fontId="27" fillId="6" borderId="0" xfId="1" applyFont="1" applyFill="1"/>
    <xf numFmtId="0" fontId="5" fillId="6" borderId="0" xfId="1" applyFont="1" applyFill="1" applyAlignment="1">
      <alignment vertical="center" wrapText="1"/>
    </xf>
    <xf numFmtId="164" fontId="2" fillId="0" borderId="7" xfId="10" applyNumberFormat="1" applyFont="1" applyBorder="1"/>
    <xf numFmtId="41" fontId="2" fillId="9" borderId="49" xfId="10" applyNumberFormat="1" applyFont="1" applyFill="1" applyBorder="1"/>
    <xf numFmtId="164" fontId="2" fillId="0" borderId="10" xfId="10" applyNumberFormat="1" applyFont="1" applyBorder="1"/>
    <xf numFmtId="41" fontId="2" fillId="9" borderId="5" xfId="10" applyNumberFormat="1" applyFont="1" applyFill="1" applyBorder="1"/>
    <xf numFmtId="164" fontId="2" fillId="0" borderId="13" xfId="10" applyNumberFormat="1" applyFont="1" applyBorder="1"/>
    <xf numFmtId="41" fontId="2" fillId="9" borderId="25" xfId="10" applyNumberFormat="1" applyFont="1" applyFill="1" applyBorder="1"/>
    <xf numFmtId="164" fontId="16" fillId="10" borderId="31" xfId="10" applyNumberFormat="1" applyFont="1" applyFill="1" applyBorder="1"/>
    <xf numFmtId="41" fontId="16" fillId="10" borderId="31" xfId="10" applyNumberFormat="1" applyFont="1" applyFill="1" applyBorder="1"/>
    <xf numFmtId="0" fontId="2" fillId="6" borderId="0" xfId="1" applyFont="1" applyFill="1" applyAlignment="1">
      <alignment wrapText="1"/>
    </xf>
    <xf numFmtId="0" fontId="2" fillId="0" borderId="52" xfId="1" applyFont="1" applyBorder="1" applyAlignment="1">
      <alignment horizontal="center" wrapText="1"/>
    </xf>
    <xf numFmtId="0" fontId="2" fillId="0" borderId="53" xfId="1" applyFont="1" applyBorder="1" applyAlignment="1">
      <alignment horizontal="center" wrapText="1"/>
    </xf>
    <xf numFmtId="0" fontId="2" fillId="0" borderId="13" xfId="1" applyFont="1" applyBorder="1" applyAlignment="1">
      <alignment horizontal="center" wrapText="1"/>
    </xf>
    <xf numFmtId="0" fontId="16" fillId="6" borderId="0" xfId="1" applyFont="1" applyFill="1" applyBorder="1" applyAlignment="1">
      <alignment horizontal="center"/>
    </xf>
    <xf numFmtId="164" fontId="2" fillId="9" borderId="49" xfId="10" applyNumberFormat="1" applyFont="1" applyFill="1" applyBorder="1"/>
    <xf numFmtId="164" fontId="2" fillId="9" borderId="5" xfId="10" applyNumberFormat="1" applyFont="1" applyFill="1" applyBorder="1"/>
    <xf numFmtId="164" fontId="2" fillId="9" borderId="25" xfId="10" applyNumberFormat="1" applyFont="1" applyFill="1" applyBorder="1"/>
    <xf numFmtId="0" fontId="28" fillId="6" borderId="0" xfId="1" applyFont="1" applyFill="1"/>
    <xf numFmtId="0" fontId="29" fillId="6" borderId="0" xfId="1" applyFont="1" applyFill="1"/>
    <xf numFmtId="164" fontId="29" fillId="6" borderId="0" xfId="10" applyNumberFormat="1" applyFont="1" applyFill="1"/>
    <xf numFmtId="9" fontId="29" fillId="6" borderId="0" xfId="20" applyFont="1" applyFill="1"/>
    <xf numFmtId="0" fontId="2" fillId="6" borderId="0" xfId="1" quotePrefix="1" applyFont="1" applyFill="1" applyAlignment="1">
      <alignment horizontal="left" indent="2"/>
    </xf>
    <xf numFmtId="0" fontId="2" fillId="6" borderId="0" xfId="1" quotePrefix="1" applyFont="1" applyFill="1"/>
    <xf numFmtId="0" fontId="2" fillId="6" borderId="0" xfId="1" quotePrefix="1" applyFont="1" applyFill="1" applyAlignment="1">
      <alignment horizontal="left" indent="4"/>
    </xf>
    <xf numFmtId="0" fontId="33" fillId="0" borderId="28" xfId="1" applyFont="1" applyBorder="1" applyAlignment="1">
      <alignment horizontal="center"/>
    </xf>
    <xf numFmtId="0" fontId="33" fillId="0" borderId="3" xfId="1" applyFont="1" applyBorder="1"/>
    <xf numFmtId="0" fontId="2" fillId="0" borderId="0" xfId="1"/>
    <xf numFmtId="0" fontId="34" fillId="0" borderId="58" xfId="1" applyFont="1" applyBorder="1" applyAlignment="1">
      <alignment horizontal="center"/>
    </xf>
    <xf numFmtId="0" fontId="34" fillId="0" borderId="57" xfId="1" applyFont="1" applyBorder="1"/>
    <xf numFmtId="0" fontId="35" fillId="0" borderId="0" xfId="1" applyFont="1" applyBorder="1" applyAlignment="1">
      <alignment horizontal="center"/>
    </xf>
    <xf numFmtId="0" fontId="35" fillId="0" borderId="0" xfId="1" applyFont="1" applyBorder="1" applyAlignment="1">
      <alignment horizontal="left"/>
    </xf>
    <xf numFmtId="0" fontId="2" fillId="0" borderId="0" xfId="1" applyBorder="1"/>
    <xf numFmtId="0" fontId="30" fillId="0" borderId="0" xfId="1" applyFont="1" applyBorder="1" applyAlignment="1">
      <alignment horizontal="left"/>
    </xf>
    <xf numFmtId="0" fontId="2" fillId="0" borderId="0" xfId="1" applyAlignment="1">
      <alignment horizontal="left"/>
    </xf>
    <xf numFmtId="0" fontId="2" fillId="0" borderId="0" xfId="1" applyAlignment="1">
      <alignment horizontal="center"/>
    </xf>
    <xf numFmtId="37" fontId="2" fillId="2" borderId="0" xfId="22" applyNumberFormat="1" applyFont="1" applyFill="1"/>
    <xf numFmtId="2" fontId="2" fillId="2" borderId="0" xfId="22" applyNumberFormat="1" applyFont="1" applyFill="1"/>
    <xf numFmtId="169" fontId="2" fillId="2" borderId="0" xfId="14" applyNumberFormat="1" applyFont="1" applyFill="1" applyBorder="1"/>
    <xf numFmtId="37" fontId="2" fillId="2" borderId="0" xfId="22" applyNumberFormat="1" applyFont="1" applyFill="1" applyAlignment="1" applyProtection="1">
      <alignment horizontal="left"/>
    </xf>
    <xf numFmtId="2" fontId="2" fillId="2" borderId="0" xfId="22" applyNumberFormat="1" applyFont="1" applyFill="1" applyAlignment="1" applyProtection="1">
      <alignment horizontal="left"/>
    </xf>
    <xf numFmtId="37" fontId="37" fillId="2" borderId="0" xfId="22" applyNumberFormat="1" applyFont="1" applyFill="1" applyAlignment="1" applyProtection="1"/>
    <xf numFmtId="37" fontId="38" fillId="2" borderId="0" xfId="22" applyNumberFormat="1" applyFont="1" applyFill="1" applyBorder="1"/>
    <xf numFmtId="9" fontId="2" fillId="2" borderId="0" xfId="17" applyFont="1" applyFill="1" applyBorder="1" applyProtection="1"/>
    <xf numFmtId="9" fontId="2" fillId="2" borderId="0" xfId="17" applyNumberFormat="1" applyFont="1" applyFill="1" applyBorder="1" applyProtection="1"/>
    <xf numFmtId="37" fontId="16" fillId="2" borderId="0" xfId="1" applyNumberFormat="1" applyFont="1" applyFill="1" applyAlignment="1" applyProtection="1">
      <alignment horizontal="right"/>
    </xf>
    <xf numFmtId="164" fontId="2" fillId="2" borderId="0" xfId="7" applyNumberFormat="1" applyFont="1" applyFill="1" applyBorder="1" applyProtection="1"/>
    <xf numFmtId="164" fontId="2" fillId="2" borderId="59" xfId="7" applyNumberFormat="1" applyFont="1" applyFill="1" applyBorder="1" applyProtection="1"/>
    <xf numFmtId="37" fontId="2" fillId="2" borderId="0" xfId="1" applyNumberFormat="1" applyFont="1" applyFill="1"/>
    <xf numFmtId="2" fontId="2" fillId="2" borderId="0" xfId="1" applyNumberFormat="1" applyFont="1" applyFill="1"/>
    <xf numFmtId="37" fontId="16" fillId="2" borderId="0" xfId="1" applyNumberFormat="1" applyFont="1" applyFill="1" applyAlignment="1" applyProtection="1">
      <alignment horizontal="left"/>
    </xf>
    <xf numFmtId="37" fontId="38" fillId="2" borderId="0" xfId="1" applyNumberFormat="1" applyFont="1" applyFill="1" applyBorder="1"/>
    <xf numFmtId="37" fontId="38" fillId="2" borderId="60" xfId="1" applyNumberFormat="1" applyFont="1" applyFill="1" applyBorder="1"/>
    <xf numFmtId="37" fontId="2" fillId="2" borderId="0" xfId="1" applyNumberFormat="1" applyFill="1" applyBorder="1"/>
    <xf numFmtId="37" fontId="2" fillId="2" borderId="26" xfId="1" applyNumberFormat="1" applyFill="1" applyBorder="1"/>
    <xf numFmtId="37" fontId="2" fillId="2" borderId="0" xfId="1" applyNumberFormat="1" applyFill="1"/>
    <xf numFmtId="2" fontId="2" fillId="2" borderId="0" xfId="1" applyNumberFormat="1" applyFill="1"/>
    <xf numFmtId="37" fontId="16" fillId="2" borderId="0" xfId="1" applyNumberFormat="1" applyFont="1" applyFill="1" applyAlignment="1"/>
    <xf numFmtId="37" fontId="2" fillId="2" borderId="0" xfId="1" applyNumberFormat="1" applyFont="1" applyFill="1" applyBorder="1"/>
    <xf numFmtId="37" fontId="2" fillId="2" borderId="60" xfId="1" applyNumberFormat="1" applyFont="1" applyFill="1" applyBorder="1"/>
    <xf numFmtId="37" fontId="2" fillId="11" borderId="60" xfId="1" applyNumberFormat="1" applyFont="1" applyFill="1" applyBorder="1"/>
    <xf numFmtId="37" fontId="2" fillId="11" borderId="0" xfId="1" applyNumberFormat="1" applyFont="1" applyFill="1"/>
    <xf numFmtId="2" fontId="2" fillId="11" borderId="0" xfId="1" applyNumberFormat="1" applyFont="1" applyFill="1"/>
    <xf numFmtId="37" fontId="2" fillId="11" borderId="0" xfId="1" applyNumberFormat="1" applyFill="1"/>
    <xf numFmtId="37" fontId="2" fillId="11" borderId="0" xfId="1" applyNumberFormat="1" applyFont="1" applyFill="1" applyAlignment="1">
      <alignment horizontal="right"/>
    </xf>
    <xf numFmtId="37" fontId="2" fillId="11" borderId="26" xfId="1" applyNumberFormat="1" applyFill="1" applyBorder="1"/>
    <xf numFmtId="37" fontId="2" fillId="11" borderId="0" xfId="1" applyNumberFormat="1" applyFill="1" applyBorder="1"/>
    <xf numFmtId="2" fontId="2" fillId="11" borderId="0" xfId="1" applyNumberFormat="1" applyFill="1"/>
    <xf numFmtId="37" fontId="18" fillId="11" borderId="0" xfId="1" applyNumberFormat="1" applyFont="1" applyFill="1"/>
    <xf numFmtId="37" fontId="38" fillId="2" borderId="0" xfId="1" applyNumberFormat="1" applyFont="1" applyFill="1" applyBorder="1" applyProtection="1"/>
    <xf numFmtId="37" fontId="38" fillId="11" borderId="60" xfId="1" applyNumberFormat="1" applyFont="1" applyFill="1" applyBorder="1" applyProtection="1"/>
    <xf numFmtId="37" fontId="2" fillId="11" borderId="0" xfId="1" applyNumberFormat="1" applyFont="1" applyFill="1" applyAlignment="1" applyProtection="1">
      <alignment horizontal="right"/>
    </xf>
    <xf numFmtId="37" fontId="2" fillId="2" borderId="0" xfId="1" applyNumberFormat="1" applyFont="1" applyFill="1" applyProtection="1"/>
    <xf numFmtId="37" fontId="2" fillId="11" borderId="0" xfId="1" applyNumberFormat="1" applyFont="1" applyFill="1" applyProtection="1"/>
    <xf numFmtId="37" fontId="2" fillId="11" borderId="0" xfId="1" applyNumberFormat="1" applyFont="1" applyFill="1" applyAlignment="1" applyProtection="1">
      <alignment horizontal="left"/>
    </xf>
    <xf numFmtId="2" fontId="2" fillId="11" borderId="0" xfId="1" applyNumberFormat="1" applyFont="1" applyFill="1" applyAlignment="1" applyProtection="1">
      <alignment horizontal="left"/>
    </xf>
    <xf numFmtId="37" fontId="38" fillId="11" borderId="60" xfId="1" applyNumberFormat="1" applyFont="1" applyFill="1" applyBorder="1" applyAlignment="1" applyProtection="1"/>
    <xf numFmtId="37" fontId="2" fillId="2" borderId="0" xfId="22" applyNumberFormat="1" applyFill="1"/>
    <xf numFmtId="2" fontId="2" fillId="2" borderId="0" xfId="1" applyNumberFormat="1" applyFont="1" applyFill="1" applyAlignment="1" applyProtection="1">
      <alignment horizontal="left"/>
    </xf>
    <xf numFmtId="37" fontId="2" fillId="2" borderId="0" xfId="1" applyNumberFormat="1" applyFont="1" applyFill="1" applyAlignment="1" applyProtection="1">
      <alignment horizontal="left"/>
    </xf>
    <xf numFmtId="37" fontId="38" fillId="2" borderId="8" xfId="1" applyNumberFormat="1" applyFont="1" applyFill="1" applyBorder="1" applyProtection="1"/>
    <xf numFmtId="37" fontId="38" fillId="2" borderId="11" xfId="1" applyNumberFormat="1" applyFont="1" applyFill="1" applyBorder="1" applyProtection="1"/>
    <xf numFmtId="37" fontId="2" fillId="2" borderId="26" xfId="22" applyNumberFormat="1" applyFont="1" applyFill="1" applyBorder="1"/>
    <xf numFmtId="37" fontId="2" fillId="2" borderId="22" xfId="22" applyNumberFormat="1" applyFont="1" applyFill="1" applyBorder="1"/>
    <xf numFmtId="37" fontId="2" fillId="2" borderId="21" xfId="22" applyNumberFormat="1" applyFont="1" applyFill="1" applyBorder="1"/>
    <xf numFmtId="37" fontId="38" fillId="2" borderId="4" xfId="1" applyNumberFormat="1" applyFont="1" applyFill="1" applyBorder="1" applyProtection="1"/>
    <xf numFmtId="37" fontId="2" fillId="2" borderId="29" xfId="1" applyNumberFormat="1" applyFont="1" applyFill="1" applyBorder="1"/>
    <xf numFmtId="37" fontId="2" fillId="2" borderId="22" xfId="1" applyNumberFormat="1" applyFont="1" applyFill="1" applyBorder="1" applyAlignment="1" applyProtection="1">
      <alignment horizontal="left"/>
    </xf>
    <xf numFmtId="170" fontId="38" fillId="2" borderId="4" xfId="1" applyNumberFormat="1" applyFont="1" applyFill="1" applyBorder="1" applyProtection="1"/>
    <xf numFmtId="37" fontId="2" fillId="2" borderId="21" xfId="1" applyNumberFormat="1" applyFill="1" applyBorder="1"/>
    <xf numFmtId="37" fontId="2" fillId="2" borderId="21" xfId="1" applyNumberFormat="1" applyFont="1" applyFill="1" applyBorder="1" applyAlignment="1">
      <alignment horizontal="right"/>
    </xf>
    <xf numFmtId="37" fontId="2" fillId="2" borderId="61" xfId="22" applyNumberFormat="1" applyFont="1" applyFill="1" applyBorder="1" applyAlignment="1">
      <alignment horizontal="right"/>
    </xf>
    <xf numFmtId="37" fontId="2" fillId="2" borderId="0" xfId="22" applyNumberFormat="1" applyFont="1" applyFill="1" applyBorder="1"/>
    <xf numFmtId="10" fontId="2" fillId="2" borderId="26" xfId="22" applyNumberFormat="1" applyFont="1" applyFill="1" applyBorder="1"/>
    <xf numFmtId="37" fontId="2" fillId="2" borderId="26" xfId="22" applyNumberFormat="1" applyFont="1" applyFill="1" applyBorder="1" applyAlignment="1">
      <alignment horizontal="right"/>
    </xf>
    <xf numFmtId="37" fontId="2" fillId="11" borderId="61" xfId="1" applyNumberFormat="1" applyFont="1" applyFill="1" applyBorder="1" applyProtection="1"/>
    <xf numFmtId="37" fontId="2" fillId="11" borderId="0" xfId="1" applyNumberFormat="1" applyFont="1" applyFill="1" applyBorder="1" applyProtection="1"/>
    <xf numFmtId="37" fontId="38" fillId="11" borderId="0" xfId="1" applyNumberFormat="1" applyFont="1" applyFill="1" applyBorder="1"/>
    <xf numFmtId="170" fontId="38" fillId="11" borderId="0" xfId="1" applyNumberFormat="1" applyFont="1" applyFill="1" applyBorder="1"/>
    <xf numFmtId="37" fontId="38" fillId="11" borderId="0" xfId="1" quotePrefix="1" applyNumberFormat="1" applyFont="1" applyFill="1" applyBorder="1" applyAlignment="1">
      <alignment horizontal="center"/>
    </xf>
    <xf numFmtId="37" fontId="2" fillId="11" borderId="62" xfId="1" applyNumberFormat="1" applyFont="1" applyFill="1" applyBorder="1" applyAlignment="1" applyProtection="1">
      <alignment horizontal="left"/>
    </xf>
    <xf numFmtId="10" fontId="2" fillId="2" borderId="0" xfId="22" applyNumberFormat="1" applyFont="1" applyFill="1" applyBorder="1"/>
    <xf numFmtId="37" fontId="2" fillId="2" borderId="0" xfId="22" applyNumberFormat="1" applyFont="1" applyFill="1" applyBorder="1" applyAlignment="1">
      <alignment horizontal="right"/>
    </xf>
    <xf numFmtId="37" fontId="2" fillId="2" borderId="62" xfId="22" applyNumberFormat="1" applyFont="1" applyFill="1" applyBorder="1"/>
    <xf numFmtId="37" fontId="2" fillId="2" borderId="63" xfId="22" applyNumberFormat="1" applyFont="1" applyFill="1" applyBorder="1" applyAlignment="1">
      <alignment horizontal="center"/>
    </xf>
    <xf numFmtId="0" fontId="2" fillId="2" borderId="61" xfId="22" applyNumberFormat="1" applyFont="1" applyFill="1" applyBorder="1" applyAlignment="1">
      <alignment horizontal="right"/>
    </xf>
    <xf numFmtId="37" fontId="2" fillId="2" borderId="61" xfId="22" applyNumberFormat="1" applyFont="1" applyFill="1" applyBorder="1"/>
    <xf numFmtId="37" fontId="2" fillId="2" borderId="63" xfId="22" applyNumberFormat="1" applyFont="1" applyFill="1" applyBorder="1"/>
    <xf numFmtId="37" fontId="2" fillId="2" borderId="61" xfId="1" applyNumberFormat="1" applyFont="1" applyFill="1" applyBorder="1" applyProtection="1"/>
    <xf numFmtId="37" fontId="2" fillId="2" borderId="0" xfId="1" applyNumberFormat="1" applyFont="1" applyFill="1" applyBorder="1" applyProtection="1"/>
    <xf numFmtId="37" fontId="38" fillId="0" borderId="0" xfId="1" applyNumberFormat="1" applyFont="1" applyFill="1" applyBorder="1"/>
    <xf numFmtId="170" fontId="38" fillId="0" borderId="0" xfId="1" applyNumberFormat="1" applyFont="1" applyFill="1" applyBorder="1"/>
    <xf numFmtId="0" fontId="38" fillId="0" borderId="0" xfId="1" quotePrefix="1" applyNumberFormat="1" applyFont="1" applyFill="1" applyBorder="1" applyAlignment="1">
      <alignment horizontal="center"/>
    </xf>
    <xf numFmtId="37" fontId="2" fillId="0" borderId="62" xfId="1" applyNumberFormat="1" applyFont="1" applyFill="1" applyBorder="1" applyAlignment="1" applyProtection="1">
      <alignment horizontal="left"/>
    </xf>
    <xf numFmtId="37" fontId="2" fillId="2" borderId="62" xfId="22" applyNumberFormat="1" applyFont="1" applyFill="1" applyBorder="1" applyAlignment="1">
      <alignment horizontal="center"/>
    </xf>
    <xf numFmtId="0" fontId="2" fillId="2" borderId="62" xfId="1" applyNumberFormat="1" applyFont="1" applyFill="1" applyBorder="1" applyAlignment="1" applyProtection="1">
      <alignment horizontal="center"/>
    </xf>
    <xf numFmtId="171" fontId="38" fillId="11" borderId="0" xfId="1" applyNumberFormat="1" applyFont="1" applyFill="1" applyBorder="1"/>
    <xf numFmtId="49" fontId="38" fillId="11" borderId="0" xfId="1" quotePrefix="1" applyNumberFormat="1" applyFont="1" applyFill="1" applyBorder="1" applyAlignment="1">
      <alignment horizontal="center"/>
    </xf>
    <xf numFmtId="49" fontId="38" fillId="11" borderId="0" xfId="1" applyNumberFormat="1" applyFont="1" applyFill="1" applyBorder="1" applyAlignment="1">
      <alignment horizontal="center"/>
    </xf>
    <xf numFmtId="0" fontId="2" fillId="2" borderId="64" xfId="7" applyNumberFormat="1" applyFont="1" applyFill="1" applyBorder="1" applyAlignment="1" applyProtection="1">
      <alignment horizontal="center"/>
    </xf>
    <xf numFmtId="164" fontId="2" fillId="2" borderId="0" xfId="7" applyNumberFormat="1" applyFont="1" applyFill="1" applyProtection="1"/>
    <xf numFmtId="164" fontId="2" fillId="2" borderId="65" xfId="7" applyNumberFormat="1" applyFont="1" applyFill="1" applyBorder="1" applyProtection="1"/>
    <xf numFmtId="164" fontId="2" fillId="2" borderId="60" xfId="7" applyNumberFormat="1" applyFont="1" applyFill="1" applyBorder="1" applyProtection="1"/>
    <xf numFmtId="164" fontId="2" fillId="11" borderId="60" xfId="7" applyNumberFormat="1" applyFont="1" applyFill="1" applyBorder="1" applyProtection="1"/>
    <xf numFmtId="171" fontId="38" fillId="11" borderId="60" xfId="1" applyNumberFormat="1" applyFont="1" applyFill="1" applyBorder="1"/>
    <xf numFmtId="49" fontId="38" fillId="11" borderId="60" xfId="1" quotePrefix="1" applyNumberFormat="1" applyFont="1" applyFill="1" applyBorder="1" applyAlignment="1">
      <alignment horizontal="center"/>
    </xf>
    <xf numFmtId="37" fontId="2" fillId="11" borderId="64" xfId="1" applyNumberFormat="1" applyFont="1" applyFill="1" applyBorder="1" applyAlignment="1" applyProtection="1">
      <alignment horizontal="left"/>
    </xf>
    <xf numFmtId="37" fontId="2" fillId="2" borderId="8" xfId="22" applyNumberFormat="1" applyFont="1" applyFill="1" applyBorder="1" applyAlignment="1">
      <alignment horizontal="center" wrapText="1"/>
    </xf>
    <xf numFmtId="37" fontId="2" fillId="2" borderId="11" xfId="22" applyNumberFormat="1" applyFont="1" applyFill="1" applyBorder="1" applyAlignment="1">
      <alignment horizontal="center" wrapText="1"/>
    </xf>
    <xf numFmtId="37" fontId="2" fillId="2" borderId="5" xfId="22" applyNumberFormat="1" applyFont="1" applyFill="1" applyBorder="1" applyAlignment="1">
      <alignment horizontal="center" wrapText="1"/>
    </xf>
    <xf numFmtId="37" fontId="38" fillId="2" borderId="5" xfId="1" applyNumberFormat="1" applyFont="1" applyFill="1" applyBorder="1" applyAlignment="1" applyProtection="1">
      <alignment horizontal="center" wrapText="1"/>
    </xf>
    <xf numFmtId="37" fontId="38" fillId="2" borderId="61" xfId="1" applyNumberFormat="1" applyFont="1" applyFill="1" applyBorder="1" applyAlignment="1" applyProtection="1">
      <alignment horizontal="center"/>
    </xf>
    <xf numFmtId="37" fontId="38" fillId="2" borderId="8" xfId="1" applyNumberFormat="1" applyFont="1" applyFill="1" applyBorder="1" applyAlignment="1" applyProtection="1">
      <alignment horizontal="center"/>
    </xf>
    <xf numFmtId="37" fontId="38" fillId="2" borderId="4" xfId="1" applyNumberFormat="1" applyFont="1" applyFill="1" applyBorder="1" applyAlignment="1" applyProtection="1">
      <alignment horizontal="center"/>
    </xf>
    <xf numFmtId="37" fontId="38" fillId="11" borderId="4" xfId="1" applyNumberFormat="1" applyFont="1" applyFill="1" applyBorder="1" applyAlignment="1" applyProtection="1">
      <alignment horizontal="centerContinuous"/>
    </xf>
    <xf numFmtId="2" fontId="38" fillId="11" borderId="4" xfId="1" applyNumberFormat="1" applyFont="1" applyFill="1" applyBorder="1" applyAlignment="1" applyProtection="1">
      <alignment horizontal="center" wrapText="1"/>
    </xf>
    <xf numFmtId="37" fontId="38" fillId="11" borderId="4" xfId="1" applyNumberFormat="1" applyFont="1" applyFill="1" applyBorder="1" applyAlignment="1" applyProtection="1">
      <alignment horizontal="center"/>
    </xf>
    <xf numFmtId="37" fontId="38" fillId="11" borderId="4" xfId="1" applyNumberFormat="1" applyFont="1" applyFill="1" applyBorder="1" applyAlignment="1" applyProtection="1">
      <alignment horizontal="left"/>
    </xf>
    <xf numFmtId="37" fontId="16" fillId="2" borderId="0" xfId="22" applyNumberFormat="1" applyFont="1" applyFill="1"/>
    <xf numFmtId="37" fontId="16" fillId="2" borderId="26" xfId="1" applyNumberFormat="1" applyFont="1" applyFill="1" applyBorder="1" applyAlignment="1" applyProtection="1">
      <alignment horizontal="left"/>
    </xf>
    <xf numFmtId="10" fontId="2" fillId="2" borderId="0" xfId="17" applyNumberFormat="1" applyFont="1" applyFill="1"/>
    <xf numFmtId="37" fontId="16" fillId="2" borderId="0" xfId="22" applyNumberFormat="1" applyFont="1" applyFill="1" applyAlignment="1"/>
    <xf numFmtId="37" fontId="7" fillId="2" borderId="0" xfId="22" applyNumberFormat="1" applyFont="1" applyFill="1"/>
    <xf numFmtId="37" fontId="3" fillId="2" borderId="0" xfId="22" applyNumberFormat="1" applyFont="1" applyFill="1"/>
    <xf numFmtId="2" fontId="3" fillId="2" borderId="0" xfId="22" applyNumberFormat="1" applyFont="1" applyFill="1"/>
    <xf numFmtId="37" fontId="3" fillId="2" borderId="0" xfId="1" applyNumberFormat="1" applyFont="1" applyFill="1"/>
    <xf numFmtId="37" fontId="39" fillId="2" borderId="0" xfId="1" applyNumberFormat="1" applyFont="1" applyFill="1"/>
    <xf numFmtId="37" fontId="39" fillId="2" borderId="0" xfId="21" applyNumberFormat="1" applyFont="1" applyFill="1"/>
    <xf numFmtId="37" fontId="2" fillId="2" borderId="0" xfId="21" applyNumberFormat="1" applyFont="1" applyFill="1"/>
    <xf numFmtId="2" fontId="2" fillId="2" borderId="0" xfId="21" applyNumberFormat="1" applyFont="1" applyFill="1"/>
    <xf numFmtId="37" fontId="16" fillId="2" borderId="0" xfId="21" applyNumberFormat="1" applyFont="1" applyFill="1"/>
    <xf numFmtId="37" fontId="16" fillId="2" borderId="0" xfId="1" applyNumberFormat="1" applyFont="1" applyFill="1" applyBorder="1" applyAlignment="1" applyProtection="1">
      <alignment horizontal="left"/>
    </xf>
    <xf numFmtId="37" fontId="42" fillId="2" borderId="0" xfId="1" quotePrefix="1" applyNumberFormat="1" applyFont="1" applyFill="1" applyBorder="1" applyAlignment="1">
      <alignment horizontal="center"/>
    </xf>
    <xf numFmtId="170" fontId="42" fillId="2" borderId="0" xfId="1" applyNumberFormat="1" applyFont="1" applyFill="1" applyBorder="1"/>
    <xf numFmtId="37" fontId="42" fillId="2" borderId="0" xfId="1" applyNumberFormat="1" applyFont="1" applyFill="1" applyBorder="1"/>
    <xf numFmtId="37" fontId="16" fillId="2" borderId="0" xfId="1" applyNumberFormat="1" applyFont="1" applyFill="1" applyProtection="1"/>
    <xf numFmtId="37" fontId="2" fillId="2" borderId="0" xfId="1" applyNumberFormat="1" applyFont="1" applyFill="1" applyBorder="1" applyAlignment="1" applyProtection="1">
      <alignment horizontal="left"/>
    </xf>
    <xf numFmtId="37" fontId="43" fillId="2" borderId="0" xfId="1" applyNumberFormat="1" applyFont="1" applyFill="1" applyBorder="1" applyAlignment="1">
      <alignment horizontal="center"/>
    </xf>
    <xf numFmtId="170" fontId="43" fillId="2" borderId="0" xfId="1" applyNumberFormat="1" applyFont="1" applyFill="1" applyBorder="1" applyAlignment="1">
      <alignment horizontal="center"/>
    </xf>
    <xf numFmtId="0" fontId="44" fillId="2" borderId="0" xfId="14" applyFont="1" applyFill="1"/>
    <xf numFmtId="37" fontId="38" fillId="2" borderId="0" xfId="1" quotePrefix="1" applyNumberFormat="1" applyFont="1" applyFill="1" applyBorder="1" applyAlignment="1">
      <alignment horizontal="right"/>
    </xf>
    <xf numFmtId="37" fontId="38" fillId="2" borderId="59" xfId="1" quotePrefix="1" applyNumberFormat="1" applyFont="1" applyFill="1" applyBorder="1" applyAlignment="1">
      <alignment horizontal="right"/>
    </xf>
    <xf numFmtId="37" fontId="16" fillId="11" borderId="0" xfId="1" applyNumberFormat="1" applyFont="1" applyFill="1"/>
    <xf numFmtId="37" fontId="2" fillId="2" borderId="0" xfId="21" applyNumberFormat="1" applyFont="1" applyFill="1" applyAlignment="1" applyProtection="1">
      <alignment horizontal="left"/>
    </xf>
    <xf numFmtId="37" fontId="7" fillId="2" borderId="0" xfId="21" applyNumberFormat="1" applyFont="1" applyFill="1"/>
    <xf numFmtId="37" fontId="16" fillId="2" borderId="0" xfId="21" applyNumberFormat="1" applyFont="1" applyFill="1" applyAlignment="1"/>
    <xf numFmtId="37" fontId="38" fillId="2" borderId="4" xfId="1" applyNumberFormat="1" applyFont="1" applyFill="1" applyBorder="1" applyAlignment="1" applyProtection="1">
      <alignment horizontal="left"/>
    </xf>
    <xf numFmtId="2" fontId="38" fillId="2" borderId="4" xfId="1" applyNumberFormat="1" applyFont="1" applyFill="1" applyBorder="1" applyAlignment="1" applyProtection="1">
      <alignment horizontal="center" wrapText="1"/>
    </xf>
    <xf numFmtId="37" fontId="38" fillId="2" borderId="4" xfId="1" applyNumberFormat="1" applyFont="1" applyFill="1" applyBorder="1" applyAlignment="1" applyProtection="1">
      <alignment horizontal="centerContinuous"/>
    </xf>
    <xf numFmtId="37" fontId="2" fillId="2" borderId="5" xfId="21" applyNumberFormat="1" applyFont="1" applyFill="1" applyBorder="1" applyAlignment="1">
      <alignment horizontal="center" wrapText="1"/>
    </xf>
    <xf numFmtId="37" fontId="2" fillId="2" borderId="11" xfId="21" applyNumberFormat="1" applyFont="1" applyFill="1" applyBorder="1" applyAlignment="1">
      <alignment horizontal="center" wrapText="1"/>
    </xf>
    <xf numFmtId="37" fontId="2" fillId="2" borderId="8" xfId="21" applyNumberFormat="1" applyFont="1" applyFill="1" applyBorder="1" applyAlignment="1">
      <alignment horizontal="center" wrapText="1"/>
    </xf>
    <xf numFmtId="0" fontId="2" fillId="11" borderId="0" xfId="7" applyNumberFormat="1" applyFont="1" applyFill="1" applyProtection="1"/>
    <xf numFmtId="164" fontId="2" fillId="11" borderId="0" xfId="7" applyNumberFormat="1" applyFont="1" applyFill="1" applyProtection="1"/>
    <xf numFmtId="37" fontId="2" fillId="2" borderId="64" xfId="7" applyNumberFormat="1" applyFont="1" applyFill="1" applyBorder="1" applyAlignment="1" applyProtection="1">
      <alignment horizontal="center"/>
    </xf>
    <xf numFmtId="37" fontId="2" fillId="2" borderId="0" xfId="21" applyNumberFormat="1" applyFont="1" applyFill="1" applyBorder="1"/>
    <xf numFmtId="10" fontId="2" fillId="2" borderId="0" xfId="21" applyNumberFormat="1" applyFont="1" applyFill="1" applyBorder="1"/>
    <xf numFmtId="37" fontId="2" fillId="2" borderId="61" xfId="21" applyNumberFormat="1" applyFont="1" applyFill="1" applyBorder="1"/>
    <xf numFmtId="0" fontId="2" fillId="11" borderId="0" xfId="1" applyNumberFormat="1" applyFont="1" applyFill="1" applyProtection="1"/>
    <xf numFmtId="172" fontId="2" fillId="11" borderId="0" xfId="1" applyNumberFormat="1" applyFont="1" applyFill="1" applyProtection="1"/>
    <xf numFmtId="171" fontId="2" fillId="11" borderId="0" xfId="1" applyNumberFormat="1" applyFont="1" applyFill="1" applyProtection="1"/>
    <xf numFmtId="37" fontId="2" fillId="2" borderId="62" xfId="1" applyNumberFormat="1" applyFont="1" applyFill="1" applyBorder="1" applyAlignment="1" applyProtection="1">
      <alignment horizontal="center"/>
    </xf>
    <xf numFmtId="172" fontId="38" fillId="11" borderId="0" xfId="1" applyNumberFormat="1" applyFont="1" applyFill="1" applyBorder="1"/>
    <xf numFmtId="0" fontId="38" fillId="2" borderId="0" xfId="1" quotePrefix="1" applyNumberFormat="1" applyFont="1" applyFill="1" applyBorder="1" applyAlignment="1">
      <alignment horizontal="center"/>
    </xf>
    <xf numFmtId="170" fontId="38" fillId="2" borderId="0" xfId="1" applyNumberFormat="1" applyFont="1" applyFill="1" applyBorder="1"/>
    <xf numFmtId="37" fontId="2" fillId="2" borderId="63" xfId="21" applyNumberFormat="1" applyFont="1" applyFill="1" applyBorder="1"/>
    <xf numFmtId="37" fontId="2" fillId="2" borderId="62" xfId="21" applyNumberFormat="1" applyFont="1" applyFill="1" applyBorder="1"/>
    <xf numFmtId="37" fontId="2" fillId="11" borderId="0" xfId="1" applyNumberFormat="1" applyFont="1" applyFill="1" applyBorder="1" applyAlignment="1" applyProtection="1">
      <alignment horizontal="left"/>
    </xf>
    <xf numFmtId="37" fontId="2" fillId="2" borderId="63" xfId="21" applyNumberFormat="1" applyFont="1" applyFill="1" applyBorder="1" applyAlignment="1">
      <alignment horizontal="center"/>
    </xf>
    <xf numFmtId="37" fontId="2" fillId="2" borderId="0" xfId="21" applyNumberFormat="1" applyFont="1" applyFill="1" applyBorder="1" applyAlignment="1">
      <alignment horizontal="center"/>
    </xf>
    <xf numFmtId="0" fontId="2" fillId="2" borderId="61" xfId="21" applyNumberFormat="1" applyFont="1" applyFill="1" applyBorder="1" applyAlignment="1">
      <alignment horizontal="center"/>
    </xf>
    <xf numFmtId="37" fontId="2" fillId="2" borderId="61" xfId="21" applyNumberFormat="1" applyFont="1" applyFill="1" applyBorder="1" applyAlignment="1">
      <alignment horizontal="center"/>
    </xf>
    <xf numFmtId="37" fontId="2" fillId="2" borderId="0" xfId="1" applyNumberFormat="1" applyFont="1" applyFill="1" applyAlignment="1">
      <alignment horizontal="right"/>
    </xf>
    <xf numFmtId="170" fontId="38" fillId="2" borderId="60" xfId="1" applyNumberFormat="1" applyFont="1" applyFill="1" applyBorder="1" applyProtection="1"/>
    <xf numFmtId="37" fontId="38" fillId="2" borderId="60" xfId="1" applyNumberFormat="1" applyFont="1" applyFill="1" applyBorder="1" applyProtection="1"/>
    <xf numFmtId="37" fontId="2" fillId="2" borderId="21" xfId="21" applyNumberFormat="1" applyFont="1" applyFill="1" applyBorder="1"/>
    <xf numFmtId="37" fontId="2" fillId="2" borderId="22" xfId="21" applyNumberFormat="1" applyFont="1" applyFill="1" applyBorder="1"/>
    <xf numFmtId="37" fontId="2" fillId="2" borderId="26" xfId="21" applyNumberFormat="1" applyFont="1" applyFill="1" applyBorder="1"/>
    <xf numFmtId="37" fontId="2" fillId="2" borderId="0" xfId="21" applyNumberFormat="1" applyFill="1"/>
    <xf numFmtId="37" fontId="2" fillId="2" borderId="0" xfId="1" applyNumberFormat="1" applyFont="1" applyFill="1" applyAlignment="1" applyProtection="1">
      <alignment horizontal="right"/>
    </xf>
    <xf numFmtId="37" fontId="18" fillId="2" borderId="0" xfId="1" applyNumberFormat="1" applyFont="1" applyFill="1"/>
    <xf numFmtId="37" fontId="2" fillId="2" borderId="0" xfId="23" applyNumberFormat="1" applyFill="1"/>
    <xf numFmtId="37" fontId="2" fillId="2" borderId="26" xfId="23" applyNumberFormat="1" applyFill="1" applyBorder="1"/>
    <xf numFmtId="37" fontId="38" fillId="2" borderId="0" xfId="21" applyNumberFormat="1" applyFont="1" applyFill="1" applyBorder="1"/>
    <xf numFmtId="37" fontId="37" fillId="2" borderId="0" xfId="21" applyNumberFormat="1" applyFont="1" applyFill="1" applyAlignment="1" applyProtection="1"/>
    <xf numFmtId="2" fontId="2" fillId="2" borderId="0" xfId="21" applyNumberFormat="1" applyFont="1" applyFill="1" applyAlignment="1" applyProtection="1">
      <alignment horizontal="left"/>
    </xf>
    <xf numFmtId="37" fontId="2" fillId="2" borderId="0" xfId="21" quotePrefix="1" applyNumberFormat="1" applyFont="1" applyFill="1"/>
    <xf numFmtId="0" fontId="16" fillId="2" borderId="0" xfId="1" applyFont="1" applyFill="1" applyAlignment="1">
      <alignment horizontal="left" vertical="center"/>
    </xf>
    <xf numFmtId="0" fontId="8" fillId="2" borderId="0" xfId="1" applyFont="1" applyFill="1" applyAlignment="1">
      <alignment horizontal="left" vertical="center"/>
    </xf>
    <xf numFmtId="0" fontId="2" fillId="2" borderId="0" xfId="1" applyFont="1" applyFill="1" applyAlignment="1">
      <alignment horizontal="left" vertical="center"/>
    </xf>
    <xf numFmtId="0" fontId="5" fillId="8" borderId="0" xfId="1" applyFont="1" applyFill="1"/>
    <xf numFmtId="0" fontId="5" fillId="8" borderId="0" xfId="1" applyFont="1" applyFill="1" applyBorder="1"/>
    <xf numFmtId="0" fontId="5" fillId="2" borderId="1" xfId="1" applyFont="1" applyFill="1" applyBorder="1" applyAlignment="1">
      <alignment horizontal="right" vertical="center"/>
    </xf>
    <xf numFmtId="10" fontId="5" fillId="2" borderId="3" xfId="19" applyNumberFormat="1" applyFont="1" applyFill="1" applyBorder="1" applyAlignment="1">
      <alignment horizontal="center" vertical="center"/>
    </xf>
    <xf numFmtId="0" fontId="2" fillId="8" borderId="1" xfId="1" applyFont="1" applyFill="1" applyBorder="1" applyAlignment="1">
      <alignment horizontal="center" vertical="center" wrapText="1"/>
    </xf>
    <xf numFmtId="0" fontId="2" fillId="4" borderId="32" xfId="1" applyFont="1" applyFill="1" applyBorder="1" applyAlignment="1">
      <alignment horizontal="center" vertical="center"/>
    </xf>
    <xf numFmtId="0" fontId="2" fillId="4" borderId="32" xfId="1" applyFont="1" applyFill="1" applyBorder="1" applyAlignment="1">
      <alignment horizontal="center" vertical="center" wrapText="1"/>
    </xf>
    <xf numFmtId="0" fontId="2" fillId="4" borderId="41" xfId="1" applyFont="1" applyFill="1" applyBorder="1" applyAlignment="1">
      <alignment horizontal="center" vertical="center" wrapText="1"/>
    </xf>
    <xf numFmtId="0" fontId="2" fillId="4" borderId="28" xfId="1" applyFont="1" applyFill="1" applyBorder="1" applyAlignment="1">
      <alignment horizontal="center" vertical="center" wrapText="1"/>
    </xf>
    <xf numFmtId="0" fontId="16" fillId="3" borderId="28" xfId="1" applyFont="1" applyFill="1" applyBorder="1" applyAlignment="1">
      <alignment horizontal="center" vertical="center" wrapText="1"/>
    </xf>
    <xf numFmtId="0" fontId="2" fillId="2" borderId="0" xfId="1" applyFont="1" applyFill="1" applyAlignment="1">
      <alignment vertical="center"/>
    </xf>
    <xf numFmtId="0" fontId="2" fillId="2" borderId="21" xfId="1" applyFont="1" applyFill="1" applyBorder="1"/>
    <xf numFmtId="0" fontId="2" fillId="2" borderId="35" xfId="1" applyFont="1" applyFill="1" applyBorder="1"/>
    <xf numFmtId="0" fontId="2" fillId="2" borderId="43" xfId="1" applyFont="1" applyFill="1" applyBorder="1"/>
    <xf numFmtId="0" fontId="2" fillId="2" borderId="4" xfId="1" applyFont="1" applyFill="1" applyBorder="1"/>
    <xf numFmtId="0" fontId="2" fillId="2" borderId="5" xfId="1" applyFont="1" applyFill="1" applyBorder="1"/>
    <xf numFmtId="0" fontId="2" fillId="2" borderId="36" xfId="1" applyFont="1" applyFill="1" applyBorder="1"/>
    <xf numFmtId="0" fontId="2" fillId="2" borderId="44" xfId="1" applyFont="1" applyFill="1" applyBorder="1"/>
    <xf numFmtId="0" fontId="2" fillId="2" borderId="24" xfId="1" applyFont="1" applyFill="1" applyBorder="1"/>
    <xf numFmtId="0" fontId="2" fillId="2" borderId="25" xfId="1" applyFont="1" applyFill="1" applyBorder="1"/>
    <xf numFmtId="0" fontId="2" fillId="2" borderId="37" xfId="1" applyFont="1" applyFill="1" applyBorder="1"/>
    <xf numFmtId="0" fontId="2" fillId="2" borderId="0" xfId="1" applyFont="1" applyFill="1" applyAlignment="1">
      <alignment horizontal="right"/>
    </xf>
    <xf numFmtId="0" fontId="2" fillId="2" borderId="0" xfId="1" applyFont="1" applyFill="1" applyBorder="1" applyAlignment="1">
      <alignment horizontal="right"/>
    </xf>
    <xf numFmtId="0" fontId="5" fillId="2" borderId="0" xfId="1" applyFont="1" applyFill="1" applyAlignment="1">
      <alignment horizontal="right"/>
    </xf>
    <xf numFmtId="0" fontId="5" fillId="2" borderId="0" xfId="1" applyFont="1" applyFill="1" applyBorder="1" applyAlignment="1">
      <alignment horizontal="right"/>
    </xf>
    <xf numFmtId="0" fontId="47" fillId="8" borderId="0" xfId="1" applyFont="1" applyFill="1" applyBorder="1"/>
    <xf numFmtId="0" fontId="2" fillId="4" borderId="1" xfId="1" applyFont="1" applyFill="1" applyBorder="1" applyAlignment="1">
      <alignment horizontal="center" vertical="center" wrapText="1"/>
    </xf>
    <xf numFmtId="0" fontId="2" fillId="2" borderId="0" xfId="1" applyFont="1" applyFill="1" applyAlignment="1">
      <alignment vertical="center" wrapText="1"/>
    </xf>
    <xf numFmtId="0" fontId="4" fillId="12" borderId="1" xfId="1" applyFont="1" applyFill="1" applyBorder="1" applyAlignment="1"/>
    <xf numFmtId="0" fontId="4" fillId="12" borderId="2" xfId="1" applyFont="1" applyFill="1" applyBorder="1" applyAlignment="1"/>
    <xf numFmtId="0" fontId="4" fillId="12" borderId="2" xfId="1" applyFont="1" applyFill="1" applyBorder="1" applyAlignment="1">
      <alignment horizontal="left"/>
    </xf>
    <xf numFmtId="168" fontId="21" fillId="8" borderId="31" xfId="17" applyNumberFormat="1" applyFont="1" applyFill="1" applyBorder="1" applyAlignment="1">
      <alignment horizontal="center"/>
    </xf>
    <xf numFmtId="168" fontId="21" fillId="12" borderId="31" xfId="17" applyNumberFormat="1" applyFont="1" applyFill="1" applyBorder="1" applyAlignment="1">
      <alignment horizontal="center"/>
    </xf>
    <xf numFmtId="0" fontId="4" fillId="2" borderId="66" xfId="1" applyFont="1" applyFill="1" applyBorder="1" applyAlignment="1">
      <alignment horizontal="left"/>
    </xf>
    <xf numFmtId="0" fontId="4" fillId="12" borderId="66" xfId="1" applyFont="1" applyFill="1" applyBorder="1" applyAlignment="1">
      <alignment horizontal="left"/>
    </xf>
    <xf numFmtId="37" fontId="48" fillId="2" borderId="0" xfId="22" applyNumberFormat="1" applyFont="1" applyFill="1"/>
    <xf numFmtId="169" fontId="2" fillId="2" borderId="0" xfId="24" applyNumberFormat="1" applyFont="1" applyFill="1" applyBorder="1"/>
    <xf numFmtId="169" fontId="2" fillId="11" borderId="0" xfId="24" applyNumberFormat="1" applyFont="1" applyFill="1" applyBorder="1"/>
    <xf numFmtId="37" fontId="0" fillId="0" borderId="0" xfId="1" applyNumberFormat="1" applyFont="1" applyFill="1"/>
    <xf numFmtId="0" fontId="42" fillId="2" borderId="0" xfId="24" applyFont="1" applyFill="1"/>
    <xf numFmtId="0" fontId="38" fillId="2" borderId="0" xfId="24" applyFont="1" applyFill="1"/>
    <xf numFmtId="0" fontId="42" fillId="2" borderId="1" xfId="24" applyFont="1" applyFill="1" applyBorder="1" applyAlignment="1">
      <alignment wrapText="1"/>
    </xf>
    <xf numFmtId="0" fontId="45" fillId="2" borderId="0" xfId="24" applyFont="1" applyFill="1"/>
    <xf numFmtId="0" fontId="38" fillId="11" borderId="0" xfId="24" applyFont="1" applyFill="1"/>
    <xf numFmtId="37" fontId="18" fillId="0" borderId="0" xfId="21" quotePrefix="1" applyNumberFormat="1" applyFont="1" applyFill="1"/>
    <xf numFmtId="172" fontId="38" fillId="11" borderId="0" xfId="25" applyNumberFormat="1" applyFont="1" applyFill="1"/>
    <xf numFmtId="171" fontId="38" fillId="11" borderId="0" xfId="25" applyNumberFormat="1" applyFont="1" applyFill="1"/>
    <xf numFmtId="37" fontId="38" fillId="11" borderId="0" xfId="25" applyNumberFormat="1" applyFont="1" applyFill="1"/>
    <xf numFmtId="37" fontId="48" fillId="2" borderId="0" xfId="21" applyNumberFormat="1" applyFont="1" applyFill="1"/>
    <xf numFmtId="37" fontId="7" fillId="2" borderId="0" xfId="1" applyNumberFormat="1" applyFont="1" applyFill="1"/>
    <xf numFmtId="37" fontId="28" fillId="2" borderId="0" xfId="1" applyNumberFormat="1" applyFont="1" applyFill="1"/>
    <xf numFmtId="37" fontId="9" fillId="2" borderId="0" xfId="1" applyNumberFormat="1" applyFont="1" applyFill="1"/>
    <xf numFmtId="0" fontId="50" fillId="2" borderId="0" xfId="14" applyFont="1" applyFill="1"/>
    <xf numFmtId="37" fontId="2" fillId="11" borderId="4" xfId="21" applyNumberFormat="1" applyFont="1" applyFill="1" applyBorder="1"/>
    <xf numFmtId="37" fontId="16" fillId="2" borderId="0" xfId="21" applyNumberFormat="1" applyFont="1" applyFill="1" applyBorder="1" applyAlignment="1">
      <alignment horizontal="left" vertical="center"/>
    </xf>
    <xf numFmtId="0" fontId="51" fillId="2" borderId="0" xfId="14" applyFont="1" applyFill="1"/>
    <xf numFmtId="37" fontId="38" fillId="11" borderId="5" xfId="1" applyNumberFormat="1" applyFont="1" applyFill="1" applyBorder="1"/>
    <xf numFmtId="37" fontId="38" fillId="11" borderId="11" xfId="1" applyNumberFormat="1" applyFont="1" applyFill="1" applyBorder="1" applyAlignment="1">
      <alignment horizontal="center" wrapText="1"/>
    </xf>
    <xf numFmtId="37" fontId="2" fillId="2" borderId="11" xfId="21" applyNumberFormat="1" applyFont="1" applyFill="1" applyBorder="1"/>
    <xf numFmtId="37" fontId="2" fillId="2" borderId="8" xfId="21" applyNumberFormat="1" applyFont="1" applyFill="1" applyBorder="1"/>
    <xf numFmtId="172" fontId="38" fillId="11" borderId="5" xfId="1" applyNumberFormat="1" applyFont="1" applyFill="1" applyBorder="1" applyAlignment="1">
      <alignment horizontal="center"/>
    </xf>
    <xf numFmtId="171" fontId="2" fillId="11" borderId="11" xfId="21" applyNumberFormat="1" applyFont="1" applyFill="1" applyBorder="1" applyAlignment="1">
      <alignment horizontal="center"/>
    </xf>
    <xf numFmtId="37" fontId="2" fillId="11" borderId="5" xfId="21" applyNumberFormat="1" applyFont="1" applyFill="1" applyBorder="1"/>
    <xf numFmtId="37" fontId="2" fillId="11" borderId="8" xfId="21" applyNumberFormat="1" applyFont="1" applyFill="1" applyBorder="1"/>
    <xf numFmtId="37" fontId="2" fillId="2" borderId="0" xfId="21" applyNumberFormat="1" applyFont="1" applyFill="1" applyBorder="1" applyAlignment="1">
      <alignment horizontal="right"/>
    </xf>
    <xf numFmtId="49" fontId="2" fillId="2" borderId="22" xfId="21" applyNumberFormat="1" applyFont="1" applyFill="1" applyBorder="1" applyAlignment="1">
      <alignment horizontal="center"/>
    </xf>
    <xf numFmtId="37" fontId="2" fillId="2" borderId="4" xfId="21" applyNumberFormat="1" applyFont="1" applyFill="1" applyBorder="1"/>
    <xf numFmtId="10" fontId="2" fillId="2" borderId="4" xfId="21" applyNumberFormat="1" applyFont="1" applyFill="1" applyBorder="1" applyAlignment="1">
      <alignment horizontal="center"/>
    </xf>
    <xf numFmtId="0" fontId="44" fillId="2" borderId="0" xfId="14" applyFont="1" applyFill="1" applyBorder="1"/>
    <xf numFmtId="0" fontId="30" fillId="0" borderId="64" xfId="26" applyFont="1" applyBorder="1"/>
    <xf numFmtId="0" fontId="1" fillId="0" borderId="0" xfId="26"/>
    <xf numFmtId="0" fontId="30" fillId="0" borderId="22" xfId="26" applyFont="1" applyBorder="1"/>
    <xf numFmtId="0" fontId="30" fillId="0" borderId="26" xfId="26" applyFont="1" applyBorder="1"/>
    <xf numFmtId="0" fontId="30" fillId="0" borderId="29" xfId="26" applyFont="1" applyBorder="1"/>
    <xf numFmtId="0" fontId="30" fillId="0" borderId="60" xfId="26" applyFont="1" applyBorder="1"/>
    <xf numFmtId="0" fontId="30" fillId="0" borderId="65" xfId="26" applyFont="1" applyBorder="1"/>
    <xf numFmtId="0" fontId="30" fillId="0" borderId="0" xfId="26" applyFont="1" applyBorder="1"/>
    <xf numFmtId="0" fontId="30" fillId="0" borderId="62" xfId="26" applyFont="1" applyBorder="1"/>
    <xf numFmtId="0" fontId="30" fillId="0" borderId="61" xfId="26" applyFont="1" applyBorder="1"/>
    <xf numFmtId="0" fontId="32" fillId="0" borderId="0" xfId="26" applyFont="1" applyBorder="1"/>
    <xf numFmtId="0" fontId="30" fillId="0" borderId="67" xfId="26" applyFont="1" applyBorder="1"/>
    <xf numFmtId="0" fontId="30" fillId="0" borderId="21" xfId="26" applyFont="1" applyBorder="1"/>
    <xf numFmtId="0" fontId="30" fillId="0" borderId="60" xfId="26" applyFont="1" applyFill="1" applyBorder="1"/>
    <xf numFmtId="0" fontId="30" fillId="0" borderId="0" xfId="26" applyFont="1" applyFill="1" applyBorder="1"/>
    <xf numFmtId="0" fontId="30" fillId="0" borderId="26" xfId="26" applyFont="1" applyFill="1" applyBorder="1"/>
    <xf numFmtId="0" fontId="30" fillId="0" borderId="8" xfId="26" applyFont="1" applyBorder="1"/>
    <xf numFmtId="0" fontId="30" fillId="0" borderId="5" xfId="26" applyFont="1" applyBorder="1"/>
    <xf numFmtId="0" fontId="30" fillId="0" borderId="11" xfId="26" applyFont="1" applyBorder="1"/>
    <xf numFmtId="0" fontId="30" fillId="0" borderId="5" xfId="26" applyFont="1" applyBorder="1" applyAlignment="1">
      <alignment horizontal="left"/>
    </xf>
    <xf numFmtId="0" fontId="1" fillId="0" borderId="8" xfId="26" applyBorder="1"/>
    <xf numFmtId="0" fontId="30" fillId="0" borderId="11" xfId="26" applyFont="1" applyBorder="1" applyAlignment="1">
      <alignment horizontal="left"/>
    </xf>
    <xf numFmtId="0" fontId="31" fillId="0" borderId="45" xfId="26" applyFont="1" applyBorder="1" applyAlignment="1">
      <alignment horizontal="left"/>
    </xf>
    <xf numFmtId="0" fontId="31" fillId="0" borderId="46" xfId="26" applyFont="1" applyBorder="1" applyAlignment="1">
      <alignment horizontal="left"/>
    </xf>
    <xf numFmtId="0" fontId="30" fillId="0" borderId="50" xfId="26" applyFont="1" applyBorder="1"/>
    <xf numFmtId="0" fontId="30" fillId="0" borderId="56" xfId="26" applyFont="1" applyBorder="1" applyAlignment="1">
      <alignment horizontal="right" vertical="top"/>
    </xf>
    <xf numFmtId="0" fontId="30" fillId="0" borderId="38" xfId="26" applyFont="1" applyBorder="1"/>
    <xf numFmtId="0" fontId="30" fillId="0" borderId="68" xfId="26" applyFont="1" applyBorder="1"/>
    <xf numFmtId="0" fontId="30" fillId="0" borderId="38" xfId="26" applyFont="1" applyBorder="1" applyAlignment="1">
      <alignment horizontal="left"/>
    </xf>
    <xf numFmtId="0" fontId="30" fillId="0" borderId="69" xfId="26" applyFont="1" applyBorder="1" applyAlignment="1">
      <alignment horizontal="right"/>
    </xf>
    <xf numFmtId="0" fontId="30" fillId="0" borderId="39" xfId="26" applyFont="1" applyBorder="1"/>
    <xf numFmtId="0" fontId="31" fillId="7" borderId="38" xfId="26" applyFont="1" applyFill="1" applyBorder="1"/>
    <xf numFmtId="0" fontId="30" fillId="7" borderId="0" xfId="26" applyFont="1" applyFill="1" applyBorder="1"/>
    <xf numFmtId="0" fontId="30" fillId="7" borderId="39" xfId="26" applyFont="1" applyFill="1" applyBorder="1"/>
    <xf numFmtId="0" fontId="30" fillId="0" borderId="70" xfId="26" applyFont="1" applyBorder="1"/>
    <xf numFmtId="0" fontId="30" fillId="0" borderId="69" xfId="26" applyFont="1" applyBorder="1"/>
    <xf numFmtId="0" fontId="30" fillId="0" borderId="42" xfId="26" applyFont="1" applyBorder="1"/>
    <xf numFmtId="20" fontId="30" fillId="0" borderId="38" xfId="26" applyNumberFormat="1" applyFont="1" applyBorder="1"/>
    <xf numFmtId="0" fontId="30" fillId="0" borderId="71" xfId="26" applyFont="1" applyBorder="1"/>
    <xf numFmtId="0" fontId="30" fillId="0" borderId="23" xfId="26" applyFont="1" applyBorder="1"/>
    <xf numFmtId="0" fontId="30" fillId="0" borderId="70" xfId="26" applyFont="1" applyFill="1" applyBorder="1"/>
    <xf numFmtId="0" fontId="30" fillId="0" borderId="69" xfId="26" applyFont="1" applyFill="1" applyBorder="1"/>
    <xf numFmtId="0" fontId="30" fillId="0" borderId="38" xfId="26" applyFont="1" applyFill="1" applyBorder="1"/>
    <xf numFmtId="0" fontId="30" fillId="0" borderId="39" xfId="26" applyFont="1" applyFill="1" applyBorder="1"/>
    <xf numFmtId="0" fontId="31" fillId="0" borderId="42" xfId="26" applyFont="1" applyFill="1" applyBorder="1"/>
    <xf numFmtId="0" fontId="30" fillId="0" borderId="68" xfId="26" applyFont="1" applyFill="1" applyBorder="1"/>
    <xf numFmtId="0" fontId="32" fillId="0" borderId="43" xfId="26" applyFont="1" applyBorder="1"/>
    <xf numFmtId="0" fontId="30" fillId="0" borderId="72" xfId="26" applyFont="1" applyBorder="1"/>
    <xf numFmtId="0" fontId="34" fillId="0" borderId="57" xfId="0" applyFont="1" applyBorder="1" applyAlignment="1">
      <alignment vertical="center"/>
    </xf>
    <xf numFmtId="0" fontId="30" fillId="0" borderId="58" xfId="0" applyFont="1" applyBorder="1" applyAlignment="1">
      <alignment vertical="center"/>
    </xf>
    <xf numFmtId="0" fontId="30" fillId="0" borderId="57" xfId="0" applyFont="1" applyBorder="1" applyAlignment="1">
      <alignment vertical="center"/>
    </xf>
    <xf numFmtId="0" fontId="34" fillId="0" borderId="58" xfId="0" applyFont="1" applyBorder="1" applyAlignment="1">
      <alignment vertical="center"/>
    </xf>
    <xf numFmtId="0" fontId="34" fillId="0" borderId="28" xfId="0" applyFont="1" applyBorder="1" applyAlignment="1">
      <alignment vertical="center"/>
    </xf>
    <xf numFmtId="0" fontId="34" fillId="0" borderId="3" xfId="0" applyFont="1" applyBorder="1" applyAlignment="1">
      <alignment vertical="center"/>
    </xf>
    <xf numFmtId="0" fontId="54" fillId="0" borderId="0" xfId="26" applyFont="1"/>
    <xf numFmtId="164" fontId="5" fillId="6" borderId="0" xfId="10" applyNumberFormat="1" applyFont="1" applyFill="1"/>
    <xf numFmtId="43" fontId="5" fillId="6" borderId="0" xfId="2" applyFont="1" applyFill="1"/>
    <xf numFmtId="164" fontId="5" fillId="6" borderId="0" xfId="10" applyNumberFormat="1" applyFont="1" applyFill="1" applyBorder="1"/>
    <xf numFmtId="0" fontId="4" fillId="6" borderId="0" xfId="0" applyFont="1" applyFill="1" applyBorder="1" applyAlignment="1">
      <alignment horizontal="center"/>
    </xf>
    <xf numFmtId="164" fontId="5" fillId="7" borderId="24" xfId="10" applyNumberFormat="1" applyFont="1" applyFill="1" applyBorder="1" applyAlignment="1">
      <alignment horizontal="center" vertical="top" wrapText="1"/>
    </xf>
    <xf numFmtId="164" fontId="5" fillId="7" borderId="13" xfId="10" applyNumberFormat="1" applyFont="1" applyFill="1" applyBorder="1" applyAlignment="1">
      <alignment horizontal="center" vertical="top" wrapText="1"/>
    </xf>
    <xf numFmtId="164" fontId="5" fillId="7" borderId="25" xfId="10" applyNumberFormat="1" applyFont="1" applyFill="1" applyBorder="1" applyAlignment="1">
      <alignment horizontal="center" vertical="top" wrapText="1"/>
    </xf>
    <xf numFmtId="0" fontId="4" fillId="8" borderId="73" xfId="0" applyFont="1" applyFill="1" applyBorder="1" applyAlignment="1">
      <alignment horizontal="center" vertical="top"/>
    </xf>
    <xf numFmtId="0" fontId="4" fillId="6" borderId="0" xfId="0" applyFont="1" applyFill="1" applyBorder="1" applyAlignment="1">
      <alignment horizontal="center" vertical="top"/>
    </xf>
    <xf numFmtId="0" fontId="5" fillId="6" borderId="20" xfId="0" applyFont="1" applyFill="1" applyBorder="1" applyAlignment="1">
      <alignment horizontal="center"/>
    </xf>
    <xf numFmtId="0" fontId="5" fillId="6" borderId="21" xfId="0" applyFont="1" applyFill="1" applyBorder="1" applyAlignment="1">
      <alignment horizontal="center"/>
    </xf>
    <xf numFmtId="0" fontId="5" fillId="6" borderId="29" xfId="0" applyFont="1" applyFill="1" applyBorder="1" applyAlignment="1">
      <alignment horizontal="center"/>
    </xf>
    <xf numFmtId="44" fontId="5" fillId="6" borderId="21" xfId="10" applyFont="1" applyFill="1" applyBorder="1" applyAlignment="1">
      <alignment horizontal="center"/>
    </xf>
    <xf numFmtId="43" fontId="5" fillId="6" borderId="23" xfId="2" applyFont="1" applyFill="1" applyBorder="1" applyAlignment="1">
      <alignment horizontal="center"/>
    </xf>
    <xf numFmtId="43" fontId="5" fillId="6" borderId="22" xfId="2" applyFont="1" applyFill="1" applyBorder="1" applyAlignment="1">
      <alignment horizontal="center"/>
    </xf>
    <xf numFmtId="0" fontId="5" fillId="6" borderId="36" xfId="0" applyFont="1" applyFill="1" applyBorder="1"/>
    <xf numFmtId="0" fontId="5" fillId="6" borderId="9" xfId="0" applyFont="1" applyFill="1" applyBorder="1" applyAlignment="1">
      <alignment horizontal="center"/>
    </xf>
    <xf numFmtId="0" fontId="5" fillId="6" borderId="4" xfId="0" applyFont="1" applyFill="1" applyBorder="1" applyAlignment="1">
      <alignment horizontal="center"/>
    </xf>
    <xf numFmtId="0" fontId="5" fillId="6" borderId="8" xfId="0" applyFont="1" applyFill="1" applyBorder="1" applyAlignment="1">
      <alignment horizontal="center"/>
    </xf>
    <xf numFmtId="44" fontId="5" fillId="6" borderId="4" xfId="10" applyFont="1" applyFill="1" applyBorder="1" applyAlignment="1">
      <alignment horizontal="center"/>
    </xf>
    <xf numFmtId="0" fontId="5" fillId="6" borderId="74" xfId="0" applyFont="1" applyFill="1" applyBorder="1" applyAlignment="1">
      <alignment horizontal="center"/>
    </xf>
    <xf numFmtId="0" fontId="5" fillId="6" borderId="63" xfId="0" applyFont="1" applyFill="1" applyBorder="1" applyAlignment="1">
      <alignment horizontal="center"/>
    </xf>
    <xf numFmtId="0" fontId="5" fillId="6" borderId="61" xfId="0" applyFont="1" applyFill="1" applyBorder="1" applyAlignment="1">
      <alignment horizontal="center"/>
    </xf>
    <xf numFmtId="0" fontId="4" fillId="6" borderId="1" xfId="0" applyFont="1" applyFill="1" applyBorder="1" applyAlignment="1">
      <alignment horizontal="center"/>
    </xf>
    <xf numFmtId="0" fontId="4" fillId="6" borderId="2" xfId="0" applyFont="1" applyFill="1" applyBorder="1"/>
    <xf numFmtId="0" fontId="4" fillId="6" borderId="2" xfId="0" applyFont="1" applyFill="1" applyBorder="1" applyAlignment="1">
      <alignment horizontal="center"/>
    </xf>
    <xf numFmtId="0" fontId="4" fillId="6" borderId="3" xfId="0" applyFont="1" applyFill="1" applyBorder="1" applyAlignment="1">
      <alignment horizontal="center"/>
    </xf>
    <xf numFmtId="44" fontId="4" fillId="6" borderId="52" xfId="10" applyFont="1" applyFill="1" applyBorder="1" applyAlignment="1">
      <alignment horizontal="center"/>
    </xf>
    <xf numFmtId="43" fontId="4" fillId="6" borderId="13" xfId="2" applyFont="1" applyFill="1" applyBorder="1" applyAlignment="1">
      <alignment horizontal="center"/>
    </xf>
    <xf numFmtId="44" fontId="4" fillId="6" borderId="24" xfId="10" applyFont="1" applyFill="1" applyBorder="1" applyAlignment="1">
      <alignment horizontal="center"/>
    </xf>
    <xf numFmtId="43" fontId="4" fillId="6" borderId="25" xfId="2" applyFont="1" applyFill="1" applyBorder="1" applyAlignment="1">
      <alignment horizontal="center"/>
    </xf>
    <xf numFmtId="0" fontId="4" fillId="6" borderId="37" xfId="0" applyFont="1" applyFill="1" applyBorder="1"/>
    <xf numFmtId="0" fontId="5" fillId="6" borderId="27" xfId="0" applyFont="1" applyFill="1" applyBorder="1"/>
    <xf numFmtId="0" fontId="33" fillId="0" borderId="3" xfId="0" applyFont="1" applyBorder="1" applyAlignment="1">
      <alignment vertical="center"/>
    </xf>
    <xf numFmtId="44" fontId="5" fillId="2" borderId="4" xfId="7" applyFont="1" applyFill="1" applyBorder="1" applyAlignment="1">
      <alignment wrapText="1"/>
    </xf>
    <xf numFmtId="42" fontId="14" fillId="2" borderId="4" xfId="1" applyNumberFormat="1" applyFont="1" applyFill="1" applyBorder="1" applyAlignment="1">
      <alignment vertical="top"/>
    </xf>
    <xf numFmtId="42" fontId="14" fillId="2" borderId="21" xfId="1" applyNumberFormat="1" applyFont="1" applyFill="1" applyBorder="1" applyAlignment="1">
      <alignment vertical="top"/>
    </xf>
    <xf numFmtId="0" fontId="5" fillId="0" borderId="4" xfId="1" applyFont="1" applyFill="1" applyBorder="1" applyAlignment="1">
      <alignment horizontal="center"/>
    </xf>
    <xf numFmtId="42" fontId="14" fillId="0" borderId="4" xfId="0" applyNumberFormat="1" applyFont="1" applyFill="1" applyBorder="1" applyAlignment="1">
      <alignment vertical="top"/>
    </xf>
    <xf numFmtId="42" fontId="14" fillId="0" borderId="4" xfId="0" applyNumberFormat="1" applyFont="1" applyBorder="1" applyAlignment="1">
      <alignment vertical="top"/>
    </xf>
    <xf numFmtId="0" fontId="4" fillId="2" borderId="20" xfId="1" applyFont="1" applyFill="1" applyBorder="1" applyAlignment="1">
      <alignment horizontal="center" vertical="center" wrapText="1"/>
    </xf>
    <xf numFmtId="49" fontId="14" fillId="0" borderId="75" xfId="0" applyNumberFormat="1" applyFont="1" applyBorder="1" applyAlignment="1">
      <alignment vertical="top"/>
    </xf>
    <xf numFmtId="165" fontId="14" fillId="0" borderId="71" xfId="0" applyNumberFormat="1" applyFont="1" applyBorder="1" applyAlignment="1">
      <alignment vertical="top"/>
    </xf>
    <xf numFmtId="6" fontId="55" fillId="11" borderId="0" xfId="0" applyNumberFormat="1" applyFont="1" applyFill="1"/>
    <xf numFmtId="5" fontId="2" fillId="2" borderId="0" xfId="1" applyNumberFormat="1" applyFont="1" applyFill="1" applyBorder="1" applyProtection="1"/>
    <xf numFmtId="5" fontId="2" fillId="2" borderId="61" xfId="1" applyNumberFormat="1" applyFont="1" applyFill="1" applyBorder="1" applyProtection="1"/>
    <xf numFmtId="5" fontId="2" fillId="11" borderId="0" xfId="1" applyNumberFormat="1" applyFont="1" applyFill="1" applyBorder="1" applyProtection="1"/>
    <xf numFmtId="5" fontId="2" fillId="11" borderId="61" xfId="1" applyNumberFormat="1" applyFont="1" applyFill="1" applyBorder="1" applyProtection="1"/>
    <xf numFmtId="5" fontId="38" fillId="2" borderId="4" xfId="1" applyNumberFormat="1" applyFont="1" applyFill="1" applyBorder="1" applyProtection="1"/>
    <xf numFmtId="5" fontId="38" fillId="2" borderId="8" xfId="1" applyNumberFormat="1" applyFont="1" applyFill="1" applyBorder="1" applyProtection="1"/>
    <xf numFmtId="5" fontId="2" fillId="2" borderId="0" xfId="1" applyNumberFormat="1" applyFill="1"/>
    <xf numFmtId="5" fontId="2" fillId="2" borderId="0" xfId="1" applyNumberFormat="1" applyFont="1" applyFill="1"/>
    <xf numFmtId="5" fontId="2" fillId="11" borderId="0" xfId="1" applyNumberFormat="1" applyFont="1" applyFill="1" applyProtection="1"/>
    <xf numFmtId="5" fontId="38" fillId="11" borderId="60" xfId="1" applyNumberFormat="1" applyFont="1" applyFill="1" applyBorder="1" applyProtection="1"/>
    <xf numFmtId="37" fontId="38" fillId="11" borderId="8" xfId="1" applyNumberFormat="1" applyFont="1" applyFill="1" applyBorder="1" applyAlignment="1" applyProtection="1">
      <alignment horizontal="center"/>
    </xf>
    <xf numFmtId="5" fontId="2" fillId="11" borderId="60" xfId="7" applyNumberFormat="1" applyFont="1" applyFill="1" applyBorder="1" applyProtection="1"/>
    <xf numFmtId="5" fontId="2" fillId="11" borderId="65" xfId="7" applyNumberFormat="1" applyFont="1" applyFill="1" applyBorder="1" applyProtection="1"/>
    <xf numFmtId="5" fontId="2" fillId="2" borderId="60" xfId="1" applyNumberFormat="1" applyFont="1" applyFill="1" applyBorder="1"/>
    <xf numFmtId="5" fontId="2" fillId="0" borderId="0" xfId="1" applyNumberFormat="1" applyFill="1"/>
    <xf numFmtId="5" fontId="2" fillId="0" borderId="26" xfId="1" applyNumberFormat="1" applyFill="1" applyBorder="1"/>
    <xf numFmtId="5" fontId="38" fillId="2" borderId="60" xfId="1" applyNumberFormat="1" applyFont="1" applyFill="1" applyBorder="1"/>
    <xf numFmtId="5" fontId="2" fillId="2" borderId="59" xfId="7" applyNumberFormat="1" applyFont="1" applyFill="1" applyBorder="1" applyProtection="1"/>
    <xf numFmtId="37" fontId="38" fillId="11" borderId="4" xfId="1" applyNumberFormat="1" applyFont="1" applyFill="1" applyBorder="1"/>
    <xf numFmtId="37" fontId="38" fillId="11" borderId="4" xfId="1" applyNumberFormat="1" applyFont="1" applyFill="1" applyBorder="1" applyAlignment="1">
      <alignment horizontal="center" wrapText="1"/>
    </xf>
    <xf numFmtId="49" fontId="38" fillId="11" borderId="4" xfId="1" applyNumberFormat="1" applyFont="1" applyFill="1" applyBorder="1" applyAlignment="1">
      <alignment horizontal="center"/>
    </xf>
    <xf numFmtId="171" fontId="38" fillId="11" borderId="4" xfId="1" applyNumberFormat="1" applyFont="1" applyFill="1" applyBorder="1"/>
    <xf numFmtId="6" fontId="55" fillId="11" borderId="4" xfId="0" applyNumberFormat="1" applyFont="1" applyFill="1" applyBorder="1"/>
    <xf numFmtId="5" fontId="38" fillId="2" borderId="0" xfId="1" quotePrefix="1" applyNumberFormat="1" applyFont="1" applyFill="1" applyBorder="1" applyAlignment="1">
      <alignment horizontal="right"/>
    </xf>
    <xf numFmtId="5" fontId="38" fillId="2" borderId="0" xfId="24" applyNumberFormat="1" applyFont="1" applyFill="1"/>
    <xf numFmtId="5" fontId="2" fillId="11" borderId="4" xfId="21" applyNumberFormat="1" applyFont="1" applyFill="1" applyBorder="1"/>
    <xf numFmtId="37" fontId="2" fillId="0" borderId="0" xfId="1" applyNumberFormat="1" applyFont="1" applyFill="1"/>
    <xf numFmtId="5" fontId="38" fillId="2" borderId="0" xfId="24" applyNumberFormat="1" applyFont="1" applyFill="1" applyBorder="1"/>
    <xf numFmtId="5" fontId="38" fillId="2" borderId="59" xfId="1" quotePrefix="1" applyNumberFormat="1" applyFont="1" applyFill="1" applyBorder="1" applyAlignment="1">
      <alignment horizontal="right"/>
    </xf>
    <xf numFmtId="5" fontId="42" fillId="2" borderId="2" xfId="24" applyNumberFormat="1" applyFont="1" applyFill="1" applyBorder="1"/>
    <xf numFmtId="5" fontId="42" fillId="2" borderId="3" xfId="24" applyNumberFormat="1" applyFont="1" applyFill="1" applyBorder="1"/>
    <xf numFmtId="0" fontId="2" fillId="0" borderId="55" xfId="0" applyFont="1" applyBorder="1"/>
    <xf numFmtId="0" fontId="2" fillId="0" borderId="9" xfId="0" applyFont="1" applyBorder="1"/>
    <xf numFmtId="0" fontId="2" fillId="0" borderId="8" xfId="0" applyFont="1" applyBorder="1"/>
    <xf numFmtId="0" fontId="2" fillId="0" borderId="4" xfId="0" applyFont="1" applyBorder="1"/>
    <xf numFmtId="0" fontId="2" fillId="0" borderId="6" xfId="0" applyFont="1" applyBorder="1"/>
    <xf numFmtId="0" fontId="2" fillId="0" borderId="8" xfId="0" applyFont="1" applyBorder="1" applyAlignment="1">
      <alignment wrapText="1"/>
    </xf>
    <xf numFmtId="0" fontId="2" fillId="0" borderId="4" xfId="78" applyNumberFormat="1" applyFont="1" applyFill="1" applyBorder="1" applyAlignment="1" applyProtection="1">
      <alignment horizontal="left" vertical="center" wrapText="1"/>
    </xf>
    <xf numFmtId="0" fontId="2" fillId="0" borderId="34" xfId="0" applyFont="1" applyBorder="1"/>
    <xf numFmtId="0" fontId="2" fillId="0" borderId="4" xfId="78" applyNumberFormat="1" applyFont="1" applyFill="1" applyBorder="1" applyAlignment="1" applyProtection="1">
      <alignment vertical="center" wrapText="1"/>
    </xf>
    <xf numFmtId="0" fontId="2" fillId="0" borderId="4" xfId="78" applyFont="1" applyBorder="1" applyAlignment="1">
      <alignment wrapText="1"/>
    </xf>
    <xf numFmtId="0" fontId="2" fillId="6" borderId="4" xfId="0" applyFont="1" applyFill="1" applyBorder="1"/>
    <xf numFmtId="0" fontId="2" fillId="0" borderId="55" xfId="0" applyFont="1" applyBorder="1"/>
    <xf numFmtId="0" fontId="2" fillId="0" borderId="9" xfId="0" applyFont="1" applyBorder="1"/>
    <xf numFmtId="0" fontId="2" fillId="0" borderId="8" xfId="0" applyFont="1" applyBorder="1"/>
    <xf numFmtId="0" fontId="2" fillId="0" borderId="4" xfId="0" applyFont="1" applyBorder="1"/>
    <xf numFmtId="0" fontId="2" fillId="0" borderId="6" xfId="0" applyFont="1" applyBorder="1"/>
    <xf numFmtId="0" fontId="2" fillId="0" borderId="8" xfId="0" applyFont="1" applyBorder="1" applyAlignment="1">
      <alignment wrapText="1"/>
    </xf>
    <xf numFmtId="0" fontId="2" fillId="0" borderId="4" xfId="78" applyNumberFormat="1" applyFont="1" applyFill="1" applyBorder="1" applyAlignment="1">
      <alignment horizontal="left" vertical="center" wrapText="1"/>
    </xf>
    <xf numFmtId="0" fontId="2" fillId="0" borderId="4" xfId="78" applyNumberFormat="1" applyFont="1" applyFill="1" applyBorder="1" applyAlignment="1" applyProtection="1">
      <alignment horizontal="left" vertical="center" wrapText="1"/>
    </xf>
    <xf numFmtId="0" fontId="2" fillId="0" borderId="34" xfId="0" applyFont="1" applyBorder="1"/>
    <xf numFmtId="0" fontId="2" fillId="0" borderId="4" xfId="78" applyNumberFormat="1" applyFont="1" applyFill="1" applyBorder="1" applyAlignment="1" applyProtection="1">
      <alignment vertical="center" wrapText="1"/>
    </xf>
    <xf numFmtId="0" fontId="2" fillId="0" borderId="4" xfId="78" applyFont="1" applyBorder="1" applyAlignment="1">
      <alignment wrapText="1"/>
    </xf>
    <xf numFmtId="42" fontId="14" fillId="0" borderId="25" xfId="0" applyNumberFormat="1" applyFont="1" applyFill="1" applyBorder="1" applyAlignment="1">
      <alignment vertical="top"/>
    </xf>
    <xf numFmtId="49" fontId="14" fillId="8" borderId="75" xfId="0" applyNumberFormat="1" applyFont="1" applyFill="1" applyBorder="1" applyAlignment="1">
      <alignment vertical="top"/>
    </xf>
    <xf numFmtId="43" fontId="14" fillId="0" borderId="4" xfId="0" applyNumberFormat="1" applyFont="1" applyBorder="1" applyAlignment="1">
      <alignment vertical="top"/>
    </xf>
    <xf numFmtId="43" fontId="14" fillId="0" borderId="21" xfId="0" applyNumberFormat="1" applyFont="1" applyBorder="1" applyAlignment="1">
      <alignment vertical="top"/>
    </xf>
    <xf numFmtId="43" fontId="14" fillId="0" borderId="67" xfId="0" applyNumberFormat="1" applyFont="1" applyBorder="1" applyAlignment="1">
      <alignment vertical="top"/>
    </xf>
    <xf numFmtId="43" fontId="14" fillId="0" borderId="63" xfId="0" applyNumberFormat="1" applyFont="1" applyBorder="1" applyAlignment="1">
      <alignment vertical="top"/>
    </xf>
    <xf numFmtId="43" fontId="14" fillId="0" borderId="24" xfId="0" applyNumberFormat="1" applyFont="1" applyBorder="1" applyAlignment="1">
      <alignment vertical="top"/>
    </xf>
    <xf numFmtId="42" fontId="14" fillId="0" borderId="25" xfId="0" applyNumberFormat="1" applyFont="1" applyBorder="1" applyAlignment="1">
      <alignment vertical="top"/>
    </xf>
    <xf numFmtId="0" fontId="2" fillId="6" borderId="4" xfId="1" quotePrefix="1" applyFont="1" applyFill="1" applyBorder="1" applyAlignment="1">
      <alignment horizontal="left" vertical="center" wrapText="1"/>
    </xf>
    <xf numFmtId="173" fontId="2" fillId="0" borderId="4" xfId="0" applyNumberFormat="1" applyFont="1" applyFill="1" applyBorder="1" applyAlignment="1">
      <alignment horizontal="center" vertical="center"/>
    </xf>
    <xf numFmtId="3" fontId="0" fillId="0" borderId="4" xfId="0" applyNumberFormat="1" applyFill="1" applyBorder="1" applyAlignment="1">
      <alignment horizontal="center"/>
    </xf>
    <xf numFmtId="0" fontId="2" fillId="0" borderId="0" xfId="1" applyFont="1" applyFill="1"/>
    <xf numFmtId="9" fontId="0" fillId="0" borderId="4" xfId="0" applyNumberFormat="1" applyFill="1" applyBorder="1" applyAlignment="1">
      <alignment horizontal="center"/>
    </xf>
    <xf numFmtId="49" fontId="2" fillId="0" borderId="4" xfId="0" applyNumberFormat="1" applyFont="1" applyFill="1" applyBorder="1" applyAlignment="1">
      <alignment horizontal="center" vertical="center"/>
    </xf>
    <xf numFmtId="0" fontId="0" fillId="0" borderId="4" xfId="0" applyFill="1" applyBorder="1" applyAlignment="1">
      <alignment horizontal="center"/>
    </xf>
    <xf numFmtId="17" fontId="2" fillId="0" borderId="4" xfId="0" applyNumberFormat="1" applyFont="1" applyFill="1" applyBorder="1" applyAlignment="1">
      <alignment horizontal="center" vertical="center"/>
    </xf>
    <xf numFmtId="0" fontId="2" fillId="0" borderId="9" xfId="0" applyFont="1" applyFill="1" applyBorder="1"/>
    <xf numFmtId="164" fontId="2" fillId="0" borderId="6" xfId="10" applyNumberFormat="1" applyFont="1" applyFill="1" applyBorder="1"/>
    <xf numFmtId="44" fontId="5" fillId="0" borderId="4" xfId="7" applyFont="1" applyFill="1" applyBorder="1"/>
    <xf numFmtId="0" fontId="2" fillId="0" borderId="42" xfId="1" applyFont="1" applyFill="1" applyBorder="1"/>
    <xf numFmtId="0" fontId="2" fillId="0" borderId="4" xfId="1" applyFont="1" applyFill="1" applyBorder="1"/>
    <xf numFmtId="0" fontId="2" fillId="0" borderId="21" xfId="1" applyFont="1" applyFill="1" applyBorder="1"/>
    <xf numFmtId="42" fontId="14" fillId="0" borderId="21" xfId="1" applyNumberFormat="1" applyFont="1" applyFill="1" applyBorder="1" applyAlignment="1">
      <alignment vertical="top"/>
    </xf>
    <xf numFmtId="42" fontId="14" fillId="0" borderId="4" xfId="1" applyNumberFormat="1" applyFont="1" applyFill="1" applyBorder="1" applyAlignment="1">
      <alignment vertical="top"/>
    </xf>
    <xf numFmtId="165" fontId="14" fillId="0" borderId="22" xfId="1" applyNumberFormat="1" applyFont="1" applyFill="1" applyBorder="1" applyAlignment="1">
      <alignment vertical="top"/>
    </xf>
    <xf numFmtId="165" fontId="14" fillId="0" borderId="5" xfId="1" applyNumberFormat="1" applyFont="1" applyFill="1" applyBorder="1" applyAlignment="1">
      <alignment vertical="top"/>
    </xf>
    <xf numFmtId="0" fontId="5" fillId="0" borderId="4" xfId="1" applyFont="1" applyFill="1" applyBorder="1"/>
    <xf numFmtId="165" fontId="14" fillId="2" borderId="23" xfId="1" applyNumberFormat="1" applyFont="1" applyFill="1" applyBorder="1" applyAlignment="1">
      <alignment vertical="top" wrapText="1"/>
    </xf>
    <xf numFmtId="165" fontId="14" fillId="0" borderId="23" xfId="0" applyNumberFormat="1" applyFont="1" applyBorder="1" applyAlignment="1">
      <alignment vertical="top" wrapText="1"/>
    </xf>
    <xf numFmtId="42" fontId="5" fillId="0" borderId="22" xfId="0" applyNumberFormat="1" applyFont="1" applyFill="1" applyBorder="1" applyAlignment="1">
      <alignment vertical="top" wrapText="1"/>
    </xf>
    <xf numFmtId="0" fontId="2" fillId="0" borderId="8" xfId="1" applyFont="1" applyBorder="1" applyAlignment="1">
      <alignment wrapText="1"/>
    </xf>
    <xf numFmtId="164" fontId="2" fillId="0" borderId="9" xfId="10" applyNumberFormat="1" applyFont="1" applyFill="1" applyBorder="1"/>
    <xf numFmtId="0" fontId="2" fillId="0" borderId="8" xfId="0" applyFont="1" applyFill="1" applyBorder="1"/>
    <xf numFmtId="0" fontId="2" fillId="0" borderId="4" xfId="78" applyFont="1" applyFill="1" applyBorder="1" applyAlignment="1">
      <alignment wrapText="1"/>
    </xf>
    <xf numFmtId="0" fontId="2" fillId="0" borderId="4" xfId="0" applyFont="1" applyFill="1" applyBorder="1"/>
    <xf numFmtId="0" fontId="2" fillId="0" borderId="8" xfId="1" applyFont="1" applyFill="1" applyBorder="1"/>
    <xf numFmtId="9" fontId="2" fillId="0" borderId="5" xfId="20" applyFont="1" applyFill="1" applyBorder="1"/>
    <xf numFmtId="164" fontId="2" fillId="0" borderId="5" xfId="10" applyNumberFormat="1" applyFont="1" applyFill="1" applyBorder="1"/>
    <xf numFmtId="43" fontId="2" fillId="0" borderId="10" xfId="2" applyFont="1" applyFill="1" applyBorder="1"/>
    <xf numFmtId="165" fontId="14" fillId="0" borderId="4" xfId="0" applyNumberFormat="1" applyFont="1" applyFill="1" applyBorder="1" applyAlignment="1">
      <alignment vertical="top" wrapText="1"/>
    </xf>
    <xf numFmtId="165" fontId="14" fillId="0" borderId="13" xfId="0" applyNumberFormat="1" applyFont="1" applyFill="1" applyBorder="1" applyAlignment="1">
      <alignment vertical="top" wrapText="1"/>
    </xf>
    <xf numFmtId="0" fontId="5" fillId="0" borderId="4" xfId="1" applyFont="1" applyFill="1" applyBorder="1" applyAlignment="1">
      <alignment wrapText="1"/>
    </xf>
    <xf numFmtId="49" fontId="14" fillId="0" borderId="67" xfId="0" applyNumberFormat="1" applyFont="1" applyFill="1" applyBorder="1" applyAlignment="1">
      <alignment vertical="top"/>
    </xf>
    <xf numFmtId="43" fontId="2" fillId="2" borderId="21" xfId="86" applyFont="1" applyFill="1" applyBorder="1"/>
    <xf numFmtId="43" fontId="2" fillId="2" borderId="22" xfId="86" applyFont="1" applyFill="1" applyBorder="1"/>
    <xf numFmtId="43" fontId="2" fillId="2" borderId="35" xfId="86" applyFont="1" applyFill="1" applyBorder="1"/>
    <xf numFmtId="43" fontId="2" fillId="2" borderId="4" xfId="86" applyFont="1" applyFill="1" applyBorder="1"/>
    <xf numFmtId="43" fontId="2" fillId="2" borderId="5" xfId="86" applyFont="1" applyFill="1" applyBorder="1"/>
    <xf numFmtId="43" fontId="2" fillId="2" borderId="58" xfId="86" applyFont="1" applyFill="1" applyBorder="1"/>
    <xf numFmtId="167" fontId="5" fillId="2" borderId="4" xfId="86" applyNumberFormat="1" applyFont="1" applyFill="1" applyBorder="1"/>
    <xf numFmtId="167" fontId="5" fillId="2" borderId="9" xfId="86" applyNumberFormat="1" applyFont="1" applyFill="1" applyBorder="1"/>
    <xf numFmtId="167" fontId="5" fillId="2" borderId="9" xfId="1" applyNumberFormat="1" applyFont="1" applyFill="1" applyBorder="1"/>
    <xf numFmtId="0" fontId="5" fillId="0" borderId="4" xfId="0" applyFont="1" applyFill="1" applyBorder="1" applyAlignment="1">
      <alignment wrapText="1"/>
    </xf>
    <xf numFmtId="165" fontId="14" fillId="0" borderId="23" xfId="0" applyNumberFormat="1" applyFont="1" applyFill="1" applyBorder="1" applyAlignment="1">
      <alignment vertical="top" wrapText="1"/>
    </xf>
    <xf numFmtId="165" fontId="14" fillId="0" borderId="10" xfId="0" applyNumberFormat="1" applyFont="1" applyFill="1" applyBorder="1" applyAlignment="1">
      <alignment vertical="top" wrapText="1"/>
    </xf>
    <xf numFmtId="165" fontId="14" fillId="0" borderId="71" xfId="0" applyNumberFormat="1" applyFont="1" applyFill="1" applyBorder="1" applyAlignment="1">
      <alignment vertical="top" wrapText="1"/>
    </xf>
    <xf numFmtId="0" fontId="2" fillId="6" borderId="5" xfId="1" applyFont="1" applyFill="1" applyBorder="1" applyAlignment="1">
      <alignment wrapText="1"/>
    </xf>
    <xf numFmtId="0" fontId="0" fillId="0" borderId="8" xfId="0" applyBorder="1" applyAlignment="1">
      <alignment wrapText="1"/>
    </xf>
    <xf numFmtId="0" fontId="2" fillId="6" borderId="8" xfId="1" applyFont="1" applyFill="1" applyBorder="1" applyAlignment="1">
      <alignment wrapText="1"/>
    </xf>
    <xf numFmtId="0" fontId="2" fillId="6" borderId="5" xfId="1" applyFont="1" applyFill="1" applyBorder="1" applyAlignment="1">
      <alignment vertical="center" wrapText="1"/>
    </xf>
    <xf numFmtId="0" fontId="2" fillId="6" borderId="8" xfId="1" applyFont="1" applyFill="1" applyBorder="1" applyAlignment="1">
      <alignment vertical="center" wrapText="1"/>
    </xf>
    <xf numFmtId="0" fontId="5" fillId="2" borderId="0" xfId="1" applyFont="1" applyFill="1" applyBorder="1" applyAlignment="1">
      <alignment horizontal="left"/>
    </xf>
    <xf numFmtId="0" fontId="21" fillId="2" borderId="0" xfId="1" applyFont="1" applyFill="1" applyBorder="1" applyAlignment="1">
      <alignment horizontal="left" wrapText="1"/>
    </xf>
    <xf numFmtId="0" fontId="16" fillId="2" borderId="1" xfId="15" applyFont="1" applyFill="1" applyBorder="1" applyAlignment="1">
      <alignment horizontal="left" vertical="center" wrapText="1"/>
    </xf>
    <xf numFmtId="0" fontId="16" fillId="2" borderId="2" xfId="15" applyFont="1" applyFill="1" applyBorder="1" applyAlignment="1">
      <alignment horizontal="left" vertical="center" wrapText="1"/>
    </xf>
    <xf numFmtId="0" fontId="16" fillId="2" borderId="3" xfId="15" applyFont="1" applyFill="1" applyBorder="1" applyAlignment="1">
      <alignment horizontal="left" vertical="center" wrapText="1"/>
    </xf>
    <xf numFmtId="0" fontId="16" fillId="2" borderId="0" xfId="15" applyFont="1" applyFill="1" applyAlignment="1">
      <alignment horizontal="left" wrapText="1"/>
    </xf>
    <xf numFmtId="0" fontId="16" fillId="6" borderId="1" xfId="1" applyFont="1" applyFill="1" applyBorder="1" applyAlignment="1">
      <alignment horizontal="center" vertical="center" wrapText="1"/>
    </xf>
    <xf numFmtId="0" fontId="2" fillId="0" borderId="3" xfId="1" applyFont="1" applyBorder="1" applyAlignment="1"/>
    <xf numFmtId="0" fontId="16" fillId="6" borderId="2" xfId="1" applyFont="1" applyFill="1" applyBorder="1" applyAlignment="1">
      <alignment horizontal="center" vertical="center" wrapText="1"/>
    </xf>
    <xf numFmtId="0" fontId="4" fillId="7" borderId="15" xfId="0" applyFont="1" applyFill="1" applyBorder="1" applyAlignment="1">
      <alignment horizontal="center" vertical="center"/>
    </xf>
    <xf numFmtId="0" fontId="4" fillId="7" borderId="16" xfId="0" applyFont="1" applyFill="1" applyBorder="1" applyAlignment="1">
      <alignment horizontal="center" vertical="center"/>
    </xf>
    <xf numFmtId="0" fontId="5" fillId="7" borderId="48"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0" fillId="0" borderId="18" xfId="0" applyBorder="1" applyAlignment="1">
      <alignment horizontal="center" vertical="center" wrapText="1"/>
    </xf>
    <xf numFmtId="0" fontId="5" fillId="7" borderId="56" xfId="0" applyFont="1" applyFill="1" applyBorder="1" applyAlignment="1">
      <alignment horizontal="center" vertical="center" wrapText="1"/>
    </xf>
    <xf numFmtId="0" fontId="0" fillId="0" borderId="57" xfId="0" applyBorder="1" applyAlignment="1">
      <alignment horizontal="center" vertical="center" wrapText="1"/>
    </xf>
    <xf numFmtId="0" fontId="5" fillId="8" borderId="73" xfId="0" applyFont="1" applyFill="1" applyBorder="1" applyAlignment="1">
      <alignment horizontal="center" vertical="center" wrapText="1"/>
    </xf>
    <xf numFmtId="0" fontId="0" fillId="8" borderId="58" xfId="0" applyFill="1" applyBorder="1" applyAlignment="1">
      <alignment horizontal="center" vertical="center" wrapText="1"/>
    </xf>
    <xf numFmtId="0" fontId="5" fillId="7" borderId="47"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2" fillId="9" borderId="45" xfId="1" applyFont="1" applyFill="1" applyBorder="1" applyAlignment="1">
      <alignment horizontal="center" vertical="center" wrapText="1"/>
    </xf>
    <xf numFmtId="0" fontId="2" fillId="9" borderId="40" xfId="1" applyFont="1" applyFill="1" applyBorder="1" applyAlignment="1">
      <alignment horizontal="center" vertical="center" wrapText="1"/>
    </xf>
    <xf numFmtId="0" fontId="2" fillId="9" borderId="48" xfId="1" applyFont="1" applyFill="1" applyBorder="1" applyAlignment="1">
      <alignment horizontal="center" vertical="center" wrapText="1"/>
    </xf>
    <xf numFmtId="0" fontId="2" fillId="9" borderId="18" xfId="1" applyFont="1" applyFill="1" applyBorder="1" applyAlignment="1">
      <alignment horizontal="center" vertical="center" wrapText="1"/>
    </xf>
    <xf numFmtId="0" fontId="2" fillId="9" borderId="51" xfId="1" applyFont="1" applyFill="1" applyBorder="1" applyAlignment="1">
      <alignment horizontal="center" vertical="center" wrapText="1"/>
    </xf>
    <xf numFmtId="0" fontId="2" fillId="9" borderId="19" xfId="1" applyFont="1" applyFill="1" applyBorder="1" applyAlignment="1">
      <alignment horizontal="center" vertical="center" wrapText="1"/>
    </xf>
    <xf numFmtId="164" fontId="2" fillId="0" borderId="50" xfId="10" applyNumberFormat="1" applyFont="1" applyBorder="1" applyAlignment="1">
      <alignment horizontal="center" vertical="center" wrapText="1"/>
    </xf>
    <xf numFmtId="164" fontId="2" fillId="0" borderId="54" xfId="10" applyNumberFormat="1" applyFont="1" applyBorder="1" applyAlignment="1">
      <alignment horizontal="center" vertical="center" wrapText="1"/>
    </xf>
    <xf numFmtId="164" fontId="2" fillId="0" borderId="51" xfId="10" quotePrefix="1" applyNumberFormat="1" applyFont="1" applyFill="1" applyBorder="1" applyAlignment="1">
      <alignment horizontal="center" vertical="center" wrapText="1"/>
    </xf>
    <xf numFmtId="164" fontId="2" fillId="0" borderId="19" xfId="10" quotePrefix="1" applyNumberFormat="1" applyFont="1" applyFill="1" applyBorder="1" applyAlignment="1">
      <alignment horizontal="center" vertical="center" wrapText="1"/>
    </xf>
    <xf numFmtId="9" fontId="2" fillId="0" borderId="47" xfId="20" quotePrefix="1" applyFont="1" applyFill="1" applyBorder="1" applyAlignment="1">
      <alignment horizontal="center" vertical="center" wrapText="1"/>
    </xf>
    <xf numFmtId="9" fontId="2" fillId="0" borderId="17" xfId="20" quotePrefix="1" applyFont="1" applyFill="1" applyBorder="1" applyAlignment="1">
      <alignment horizontal="center" vertical="center" wrapText="1"/>
    </xf>
    <xf numFmtId="164" fontId="2" fillId="0" borderId="48" xfId="10" quotePrefix="1" applyNumberFormat="1" applyFont="1" applyFill="1" applyBorder="1" applyAlignment="1">
      <alignment horizontal="center" vertical="center" wrapText="1"/>
    </xf>
    <xf numFmtId="164" fontId="2" fillId="0" borderId="18" xfId="10" quotePrefix="1" applyNumberFormat="1" applyFont="1" applyFill="1" applyBorder="1" applyAlignment="1">
      <alignment horizontal="center" vertical="center" wrapText="1"/>
    </xf>
    <xf numFmtId="9" fontId="2" fillId="0" borderId="48" xfId="20" applyFont="1" applyBorder="1" applyAlignment="1">
      <alignment horizontal="center" vertical="center" wrapText="1"/>
    </xf>
    <xf numFmtId="9" fontId="2" fillId="0" borderId="18" xfId="20" applyFont="1" applyBorder="1" applyAlignment="1">
      <alignment horizontal="center" vertical="center" wrapText="1"/>
    </xf>
    <xf numFmtId="0" fontId="2" fillId="0" borderId="47"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18" xfId="1" applyFont="1" applyBorder="1" applyAlignment="1">
      <alignment horizontal="center" vertical="center" wrapText="1"/>
    </xf>
    <xf numFmtId="0" fontId="2" fillId="6" borderId="48" xfId="1" applyFont="1" applyFill="1" applyBorder="1" applyAlignment="1">
      <alignment horizontal="center" vertical="center"/>
    </xf>
    <xf numFmtId="0" fontId="2" fillId="6" borderId="18" xfId="1" applyFont="1" applyFill="1" applyBorder="1" applyAlignment="1">
      <alignment horizontal="center" vertical="center"/>
    </xf>
    <xf numFmtId="0" fontId="2" fillId="0" borderId="4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164" fontId="2" fillId="0" borderId="47" xfId="10" quotePrefix="1" applyNumberFormat="1" applyFont="1" applyFill="1" applyBorder="1" applyAlignment="1">
      <alignment horizontal="center" vertical="center" wrapText="1"/>
    </xf>
    <xf numFmtId="164" fontId="2" fillId="0" borderId="17" xfId="10" quotePrefix="1" applyNumberFormat="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164" fontId="4" fillId="9" borderId="1" xfId="10" applyNumberFormat="1" applyFont="1" applyFill="1" applyBorder="1" applyAlignment="1">
      <alignment horizontal="center" vertical="center" wrapText="1"/>
    </xf>
    <xf numFmtId="164" fontId="4" fillId="9" borderId="2" xfId="10" applyNumberFormat="1" applyFont="1" applyFill="1" applyBorder="1" applyAlignment="1">
      <alignment horizontal="center" vertical="center" wrapText="1"/>
    </xf>
    <xf numFmtId="164" fontId="4" fillId="9" borderId="3" xfId="10" applyNumberFormat="1" applyFont="1" applyFill="1" applyBorder="1" applyAlignment="1">
      <alignment horizontal="center" vertical="center" wrapText="1"/>
    </xf>
    <xf numFmtId="164" fontId="2" fillId="0" borderId="47" xfId="10" applyNumberFormat="1" applyFont="1" applyFill="1" applyBorder="1" applyAlignment="1">
      <alignment horizontal="center" vertical="center" wrapText="1"/>
    </xf>
    <xf numFmtId="0" fontId="2" fillId="9" borderId="45" xfId="1" applyFont="1" applyFill="1" applyBorder="1" applyAlignment="1">
      <alignment horizontal="center" wrapText="1"/>
    </xf>
    <xf numFmtId="0" fontId="2" fillId="9" borderId="40" xfId="1" applyFont="1" applyFill="1" applyBorder="1" applyAlignment="1">
      <alignment horizontal="center" wrapText="1"/>
    </xf>
    <xf numFmtId="0" fontId="2" fillId="9" borderId="48" xfId="1" applyFont="1" applyFill="1" applyBorder="1" applyAlignment="1">
      <alignment horizontal="center" wrapText="1"/>
    </xf>
    <xf numFmtId="0" fontId="2" fillId="9" borderId="18" xfId="1" applyFont="1" applyFill="1" applyBorder="1" applyAlignment="1">
      <alignment horizontal="center" wrapText="1"/>
    </xf>
    <xf numFmtId="0" fontId="2" fillId="9" borderId="51" xfId="1" applyFont="1" applyFill="1" applyBorder="1" applyAlignment="1">
      <alignment horizontal="center" wrapText="1"/>
    </xf>
    <xf numFmtId="0" fontId="2" fillId="9" borderId="19" xfId="1" applyFont="1" applyFill="1" applyBorder="1" applyAlignment="1">
      <alignment horizontal="center" wrapText="1"/>
    </xf>
    <xf numFmtId="164" fontId="2" fillId="0" borderId="50" xfId="10" applyNumberFormat="1" applyFont="1" applyBorder="1" applyAlignment="1">
      <alignment horizontal="center" wrapText="1"/>
    </xf>
    <xf numFmtId="164" fontId="2" fillId="0" borderId="54" xfId="10" applyNumberFormat="1" applyFont="1" applyBorder="1" applyAlignment="1">
      <alignment horizontal="center" wrapText="1"/>
    </xf>
    <xf numFmtId="164" fontId="2" fillId="0" borderId="51" xfId="10" quotePrefix="1" applyNumberFormat="1" applyFont="1" applyFill="1" applyBorder="1" applyAlignment="1">
      <alignment horizontal="center" wrapText="1"/>
    </xf>
    <xf numFmtId="164" fontId="2" fillId="0" borderId="19" xfId="10" quotePrefix="1" applyNumberFormat="1" applyFont="1" applyFill="1" applyBorder="1" applyAlignment="1">
      <alignment horizontal="center" wrapText="1"/>
    </xf>
    <xf numFmtId="9" fontId="2" fillId="0" borderId="47" xfId="20" quotePrefix="1" applyFont="1" applyFill="1" applyBorder="1" applyAlignment="1">
      <alignment horizontal="center" wrapText="1"/>
    </xf>
    <xf numFmtId="9" fontId="2" fillId="0" borderId="17" xfId="20" quotePrefix="1" applyFont="1" applyFill="1" applyBorder="1" applyAlignment="1">
      <alignment horizontal="center" wrapText="1"/>
    </xf>
    <xf numFmtId="164" fontId="2" fillId="0" borderId="48" xfId="10" quotePrefix="1" applyNumberFormat="1" applyFont="1" applyFill="1" applyBorder="1" applyAlignment="1">
      <alignment horizontal="center" wrapText="1"/>
    </xf>
    <xf numFmtId="164" fontId="2" fillId="0" borderId="18" xfId="10" quotePrefix="1" applyNumberFormat="1" applyFont="1" applyFill="1" applyBorder="1" applyAlignment="1">
      <alignment horizontal="center" wrapText="1"/>
    </xf>
    <xf numFmtId="9" fontId="2" fillId="0" borderId="48" xfId="20" applyFont="1" applyBorder="1" applyAlignment="1">
      <alignment horizontal="center" wrapText="1"/>
    </xf>
    <xf numFmtId="9" fontId="2" fillId="0" borderId="18" xfId="20" applyFont="1" applyBorder="1" applyAlignment="1">
      <alignment horizontal="center" wrapText="1"/>
    </xf>
    <xf numFmtId="0" fontId="2" fillId="0" borderId="47" xfId="1" applyFont="1" applyBorder="1" applyAlignment="1">
      <alignment horizontal="center" wrapText="1"/>
    </xf>
    <xf numFmtId="0" fontId="2" fillId="0" borderId="17" xfId="1" applyFont="1" applyBorder="1" applyAlignment="1">
      <alignment horizontal="center" wrapText="1"/>
    </xf>
    <xf numFmtId="0" fontId="2" fillId="0" borderId="48" xfId="1" applyFont="1" applyBorder="1" applyAlignment="1">
      <alignment horizontal="center" wrapText="1"/>
    </xf>
    <xf numFmtId="0" fontId="2" fillId="0" borderId="18" xfId="1" applyFont="1" applyBorder="1" applyAlignment="1">
      <alignment horizontal="center" wrapText="1"/>
    </xf>
    <xf numFmtId="0" fontId="2" fillId="6" borderId="48" xfId="1" applyFont="1" applyFill="1" applyBorder="1" applyAlignment="1">
      <alignment horizontal="center"/>
    </xf>
    <xf numFmtId="0" fontId="2" fillId="6" borderId="18" xfId="1" applyFont="1" applyFill="1" applyBorder="1" applyAlignment="1">
      <alignment horizontal="center"/>
    </xf>
    <xf numFmtId="0" fontId="2" fillId="0" borderId="49" xfId="1" applyFont="1" applyBorder="1" applyAlignment="1">
      <alignment horizontal="center" wrapText="1"/>
    </xf>
    <xf numFmtId="0" fontId="2" fillId="0" borderId="15" xfId="1" applyFont="1" applyBorder="1" applyAlignment="1">
      <alignment horizontal="center" wrapText="1"/>
    </xf>
    <xf numFmtId="0" fontId="2" fillId="0" borderId="16" xfId="1" applyFont="1" applyBorder="1" applyAlignment="1">
      <alignment horizontal="center" wrapText="1"/>
    </xf>
    <xf numFmtId="164" fontId="2" fillId="0" borderId="47" xfId="10" quotePrefix="1" applyNumberFormat="1" applyFont="1" applyFill="1" applyBorder="1" applyAlignment="1">
      <alignment horizontal="center" wrapText="1"/>
    </xf>
    <xf numFmtId="164" fontId="2" fillId="0" borderId="17" xfId="10" quotePrefix="1" applyNumberFormat="1" applyFont="1" applyFill="1" applyBorder="1" applyAlignment="1">
      <alignment horizontal="center" wrapText="1"/>
    </xf>
    <xf numFmtId="0" fontId="31" fillId="7" borderId="42" xfId="26" applyFont="1" applyFill="1" applyBorder="1" applyAlignment="1">
      <alignment horizontal="center"/>
    </xf>
    <xf numFmtId="0" fontId="31" fillId="7" borderId="26" xfId="26" applyFont="1" applyFill="1" applyBorder="1" applyAlignment="1">
      <alignment horizontal="center"/>
    </xf>
    <xf numFmtId="0" fontId="31" fillId="7" borderId="0" xfId="26" applyFont="1" applyFill="1" applyBorder="1" applyAlignment="1">
      <alignment horizontal="center"/>
    </xf>
    <xf numFmtId="0" fontId="31" fillId="7" borderId="68" xfId="26" applyFont="1" applyFill="1" applyBorder="1" applyAlignment="1">
      <alignment horizontal="center"/>
    </xf>
    <xf numFmtId="0" fontId="30" fillId="0" borderId="38" xfId="26" applyFont="1" applyBorder="1" applyAlignment="1">
      <alignment horizontal="center"/>
    </xf>
    <xf numFmtId="0" fontId="30" fillId="0" borderId="0" xfId="26" applyFont="1" applyBorder="1" applyAlignment="1">
      <alignment horizontal="center"/>
    </xf>
    <xf numFmtId="0" fontId="30" fillId="0" borderId="39" xfId="26" applyFont="1" applyBorder="1" applyAlignment="1">
      <alignment horizontal="center"/>
    </xf>
    <xf numFmtId="0" fontId="30" fillId="0" borderId="40" xfId="26" applyFont="1" applyBorder="1" applyAlignment="1">
      <alignment horizontal="center"/>
    </xf>
    <xf numFmtId="0" fontId="30" fillId="0" borderId="27" xfId="26" applyFont="1" applyBorder="1" applyAlignment="1">
      <alignment horizontal="center"/>
    </xf>
    <xf numFmtId="0" fontId="30" fillId="0" borderId="57" xfId="26" applyFont="1" applyBorder="1" applyAlignment="1">
      <alignment horizontal="center"/>
    </xf>
    <xf numFmtId="0" fontId="30" fillId="0" borderId="1" xfId="1" applyFont="1" applyBorder="1"/>
    <xf numFmtId="0" fontId="30" fillId="0" borderId="3" xfId="1" applyFont="1" applyBorder="1"/>
    <xf numFmtId="0" fontId="36" fillId="0" borderId="1" xfId="1" applyFont="1" applyBorder="1" applyAlignment="1">
      <alignment horizontal="center"/>
    </xf>
    <xf numFmtId="0" fontId="36" fillId="0" borderId="2" xfId="1" applyFont="1" applyBorder="1" applyAlignment="1">
      <alignment horizontal="center"/>
    </xf>
    <xf numFmtId="0" fontId="36" fillId="0" borderId="3" xfId="1" applyFont="1" applyBorder="1" applyAlignment="1">
      <alignment horizontal="center"/>
    </xf>
    <xf numFmtId="0" fontId="30" fillId="0" borderId="1" xfId="1" applyFont="1" applyBorder="1" applyAlignment="1">
      <alignment wrapText="1"/>
    </xf>
    <xf numFmtId="0" fontId="30" fillId="0" borderId="3" xfId="1" applyFont="1" applyBorder="1" applyAlignment="1">
      <alignment wrapText="1"/>
    </xf>
    <xf numFmtId="0" fontId="30" fillId="0" borderId="0" xfId="1" applyFont="1" applyBorder="1" applyAlignment="1">
      <alignment horizontal="left"/>
    </xf>
    <xf numFmtId="0" fontId="30" fillId="0" borderId="1" xfId="1" applyFont="1" applyBorder="1" applyAlignment="1">
      <alignment horizontal="left"/>
    </xf>
    <xf numFmtId="0" fontId="30" fillId="0" borderId="3" xfId="1" applyFont="1" applyBorder="1" applyAlignment="1">
      <alignment horizontal="left"/>
    </xf>
    <xf numFmtId="169" fontId="2" fillId="2" borderId="0" xfId="24" applyNumberFormat="1" applyFont="1" applyFill="1" applyBorder="1" applyAlignment="1">
      <alignment horizontal="left" wrapText="1"/>
    </xf>
    <xf numFmtId="37" fontId="2" fillId="0" borderId="0" xfId="22" quotePrefix="1" applyNumberFormat="1" applyFont="1" applyFill="1" applyAlignment="1">
      <alignment horizontal="left" wrapText="1"/>
    </xf>
    <xf numFmtId="37" fontId="2" fillId="11" borderId="0" xfId="1" applyNumberFormat="1" applyFont="1" applyFill="1" applyAlignment="1">
      <alignment horizontal="left" wrapText="1"/>
    </xf>
    <xf numFmtId="37" fontId="2" fillId="11" borderId="0" xfId="22" applyNumberFormat="1" applyFont="1" applyFill="1" applyAlignment="1" applyProtection="1">
      <alignment horizontal="left" wrapText="1"/>
    </xf>
    <xf numFmtId="2" fontId="0" fillId="0" borderId="0" xfId="24" applyNumberFormat="1" applyFont="1" applyFill="1" applyAlignment="1">
      <alignment horizontal="left" wrapText="1"/>
    </xf>
    <xf numFmtId="2" fontId="2" fillId="0" borderId="0" xfId="24" applyNumberFormat="1" applyFont="1" applyFill="1" applyAlignment="1">
      <alignment horizontal="left" wrapText="1"/>
    </xf>
    <xf numFmtId="0" fontId="44" fillId="11" borderId="0" xfId="14" applyFont="1" applyFill="1" applyAlignment="1">
      <alignment horizontal="left" wrapText="1"/>
    </xf>
    <xf numFmtId="49" fontId="38" fillId="11" borderId="4" xfId="1" applyNumberFormat="1" applyFont="1" applyFill="1" applyBorder="1" applyAlignment="1">
      <alignment horizontal="left" wrapText="1"/>
    </xf>
    <xf numFmtId="37" fontId="16" fillId="11" borderId="5" xfId="21" applyNumberFormat="1" applyFont="1" applyFill="1" applyBorder="1" applyAlignment="1">
      <alignment horizontal="left" vertical="center"/>
    </xf>
    <xf numFmtId="37" fontId="16" fillId="11" borderId="11" xfId="21" applyNumberFormat="1" applyFont="1" applyFill="1" applyBorder="1" applyAlignment="1">
      <alignment horizontal="left" vertical="center"/>
    </xf>
    <xf numFmtId="37" fontId="16" fillId="11" borderId="8" xfId="21" applyNumberFormat="1" applyFont="1" applyFill="1" applyBorder="1" applyAlignment="1">
      <alignment horizontal="left" vertical="center"/>
    </xf>
    <xf numFmtId="37" fontId="2" fillId="2" borderId="64" xfId="1" applyNumberFormat="1" applyFont="1" applyFill="1" applyBorder="1" applyAlignment="1">
      <alignment horizontal="left" vertical="center" wrapText="1"/>
    </xf>
    <xf numFmtId="37" fontId="2" fillId="2" borderId="60" xfId="1" applyNumberFormat="1" applyFont="1" applyFill="1" applyBorder="1" applyAlignment="1">
      <alignment horizontal="left" vertical="center" wrapText="1"/>
    </xf>
    <xf numFmtId="37" fontId="2" fillId="2" borderId="65" xfId="1" applyNumberFormat="1" applyFont="1" applyFill="1" applyBorder="1" applyAlignment="1">
      <alignment horizontal="left" vertical="center" wrapText="1"/>
    </xf>
    <xf numFmtId="37" fontId="2" fillId="2" borderId="22" xfId="1" applyNumberFormat="1" applyFont="1" applyFill="1" applyBorder="1" applyAlignment="1">
      <alignment horizontal="left" vertical="center" wrapText="1"/>
    </xf>
    <xf numFmtId="37" fontId="2" fillId="2" borderId="26" xfId="1" applyNumberFormat="1" applyFont="1" applyFill="1" applyBorder="1" applyAlignment="1">
      <alignment horizontal="left" vertical="center" wrapText="1"/>
    </xf>
    <xf numFmtId="37" fontId="2" fillId="2" borderId="29" xfId="1" applyNumberFormat="1" applyFont="1" applyFill="1" applyBorder="1" applyAlignment="1">
      <alignment horizontal="left" vertical="center" wrapText="1"/>
    </xf>
    <xf numFmtId="37" fontId="2" fillId="11" borderId="64" xfId="1" applyNumberFormat="1" applyFont="1" applyFill="1" applyBorder="1" applyAlignment="1">
      <alignment horizontal="center" wrapText="1"/>
    </xf>
    <xf numFmtId="37" fontId="2" fillId="11" borderId="60" xfId="1" applyNumberFormat="1" applyFont="1" applyFill="1" applyBorder="1" applyAlignment="1">
      <alignment horizontal="center" wrapText="1"/>
    </xf>
    <xf numFmtId="37" fontId="2" fillId="11" borderId="65" xfId="1" applyNumberFormat="1" applyFont="1" applyFill="1" applyBorder="1" applyAlignment="1">
      <alignment horizontal="center" wrapText="1"/>
    </xf>
    <xf numFmtId="37" fontId="2" fillId="11" borderId="22" xfId="1" applyNumberFormat="1" applyFont="1" applyFill="1" applyBorder="1" applyAlignment="1">
      <alignment horizontal="center" wrapText="1"/>
    </xf>
    <xf numFmtId="37" fontId="2" fillId="11" borderId="26" xfId="1" applyNumberFormat="1" applyFont="1" applyFill="1" applyBorder="1" applyAlignment="1">
      <alignment horizontal="center" wrapText="1"/>
    </xf>
    <xf numFmtId="37" fontId="2" fillId="11" borderId="29" xfId="1" applyNumberFormat="1" applyFont="1" applyFill="1" applyBorder="1" applyAlignment="1">
      <alignment horizontal="center" wrapText="1"/>
    </xf>
    <xf numFmtId="37" fontId="2" fillId="11" borderId="4" xfId="21" applyNumberFormat="1" applyFont="1" applyFill="1" applyBorder="1" applyAlignment="1">
      <alignment horizontal="left" wrapText="1"/>
    </xf>
    <xf numFmtId="37" fontId="2" fillId="11" borderId="5" xfId="21" applyNumberFormat="1" applyFont="1" applyFill="1" applyBorder="1" applyAlignment="1">
      <alignment horizontal="center"/>
    </xf>
    <xf numFmtId="37" fontId="2" fillId="11" borderId="8" xfId="21" applyNumberFormat="1" applyFont="1" applyFill="1" applyBorder="1" applyAlignment="1">
      <alignment horizontal="center"/>
    </xf>
    <xf numFmtId="0" fontId="44" fillId="11" borderId="0" xfId="14" applyFont="1" applyFill="1" applyBorder="1" applyAlignment="1">
      <alignment horizontal="left" wrapText="1"/>
    </xf>
    <xf numFmtId="37" fontId="2" fillId="2" borderId="64" xfId="21" applyNumberFormat="1" applyFont="1" applyFill="1" applyBorder="1" applyAlignment="1">
      <alignment horizontal="center"/>
    </xf>
    <xf numFmtId="37" fontId="2" fillId="2" borderId="22" xfId="21" applyNumberFormat="1" applyFont="1" applyFill="1" applyBorder="1" applyAlignment="1">
      <alignment horizontal="center"/>
    </xf>
    <xf numFmtId="37" fontId="2" fillId="2" borderId="4" xfId="21" applyNumberFormat="1" applyFont="1" applyFill="1" applyBorder="1" applyAlignment="1">
      <alignment horizontal="center"/>
    </xf>
    <xf numFmtId="37" fontId="2" fillId="2" borderId="4" xfId="21" applyNumberFormat="1" applyFont="1" applyFill="1" applyBorder="1" applyAlignment="1">
      <alignment horizontal="center" wrapText="1"/>
    </xf>
    <xf numFmtId="0" fontId="50" fillId="2" borderId="0" xfId="14" applyFont="1" applyFill="1" applyBorder="1" applyAlignment="1">
      <alignment horizontal="left"/>
    </xf>
    <xf numFmtId="0" fontId="44" fillId="2" borderId="0" xfId="14" applyFont="1" applyFill="1" applyBorder="1" applyAlignment="1">
      <alignment horizontal="left" wrapText="1"/>
    </xf>
    <xf numFmtId="0" fontId="50" fillId="2" borderId="0" xfId="14" applyFont="1" applyFill="1" applyBorder="1" applyAlignment="1">
      <alignment horizontal="left" wrapText="1"/>
    </xf>
    <xf numFmtId="0" fontId="50" fillId="11" borderId="0" xfId="14" applyFont="1" applyFill="1" applyBorder="1" applyAlignment="1">
      <alignment horizontal="left" wrapText="1"/>
    </xf>
    <xf numFmtId="37" fontId="2" fillId="11" borderId="4" xfId="1" applyNumberFormat="1" applyFont="1" applyFill="1" applyBorder="1" applyAlignment="1" applyProtection="1">
      <alignment horizontal="left"/>
    </xf>
    <xf numFmtId="0" fontId="0" fillId="0" borderId="4" xfId="0" applyBorder="1" applyAlignment="1">
      <alignment horizontal="left"/>
    </xf>
    <xf numFmtId="37" fontId="2" fillId="11" borderId="4" xfId="21" applyNumberFormat="1" applyFont="1" applyFill="1" applyBorder="1" applyAlignment="1">
      <alignment horizontal="center"/>
    </xf>
    <xf numFmtId="37" fontId="2" fillId="11" borderId="0" xfId="21" applyNumberFormat="1" applyFont="1" applyFill="1" applyAlignment="1" applyProtection="1">
      <alignment horizontal="left" wrapText="1"/>
    </xf>
    <xf numFmtId="37" fontId="2" fillId="11" borderId="0" xfId="21" applyNumberFormat="1" applyFont="1" applyFill="1" applyAlignment="1">
      <alignment horizontal="left" wrapText="1"/>
    </xf>
  </cellXfs>
  <cellStyles count="87">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2" xfId="45"/>
    <cellStyle name="Accent2 2" xfId="46"/>
    <cellStyle name="Accent3 2" xfId="47"/>
    <cellStyle name="Accent4 2" xfId="48"/>
    <cellStyle name="Accent5 2" xfId="49"/>
    <cellStyle name="Accent6 2" xfId="50"/>
    <cellStyle name="Bad 2" xfId="51"/>
    <cellStyle name="Calculation 2" xfId="52"/>
    <cellStyle name="Check Cell 2" xfId="53"/>
    <cellStyle name="Comma" xfId="86" builtinId="3"/>
    <cellStyle name="Comma 2" xfId="3"/>
    <cellStyle name="Comma 2 2" xfId="55"/>
    <cellStyle name="Comma 3" xfId="4"/>
    <cellStyle name="Comma 3 2" xfId="56"/>
    <cellStyle name="Comma 4" xfId="5"/>
    <cellStyle name="Comma 4 2" xfId="6"/>
    <cellStyle name="Comma 4 2 2" xfId="25"/>
    <cellStyle name="Comma 4 3" xfId="2"/>
    <cellStyle name="Comma 4 3 2" xfId="80"/>
    <cellStyle name="Comma 4 4" xfId="79"/>
    <cellStyle name="Comma 5" xfId="54"/>
    <cellStyle name="Currency 2" xfId="7"/>
    <cellStyle name="Currency 2 2" xfId="57"/>
    <cellStyle name="Currency 3" xfId="8"/>
    <cellStyle name="Currency 3 2" xfId="58"/>
    <cellStyle name="Currency 4" xfId="9"/>
    <cellStyle name="Currency 4 2" xfId="10"/>
    <cellStyle name="Currency 4 2 2" xfId="81"/>
    <cellStyle name="Currency 4 3" xfId="59"/>
    <cellStyle name="Currency 5" xfId="11"/>
    <cellStyle name="Currency 5 2" xfId="82"/>
    <cellStyle name="Currency 6" xfId="12"/>
    <cellStyle name="Currency 6 2" xfId="83"/>
    <cellStyle name="Explanatory Text 2" xfId="60"/>
    <cellStyle name="Good 2" xfId="61"/>
    <cellStyle name="Heading 1 2" xfId="62"/>
    <cellStyle name="Heading 2 2" xfId="63"/>
    <cellStyle name="Heading 3 2" xfId="64"/>
    <cellStyle name="Heading 4 2" xfId="65"/>
    <cellStyle name="Hyperlink 2" xfId="13"/>
    <cellStyle name="Input 2" xfId="66"/>
    <cellStyle name="Linked Cell 2" xfId="67"/>
    <cellStyle name="Neutral 2" xfId="68"/>
    <cellStyle name="Normal" xfId="0" builtinId="0"/>
    <cellStyle name="Normal 2" xfId="1"/>
    <cellStyle name="Normal 2 2" xfId="69"/>
    <cellStyle name="Normal 3" xfId="14"/>
    <cellStyle name="Normal 3 2" xfId="24"/>
    <cellStyle name="Normal 4" xfId="15"/>
    <cellStyle name="Normal 4 2" xfId="84"/>
    <cellStyle name="Normal 5" xfId="16"/>
    <cellStyle name="Normal 6" xfId="26"/>
    <cellStyle name="Normal_25 Van Ness Secuity" xfId="21"/>
    <cellStyle name="Normal_25 Van Ness Secuity 2" xfId="22"/>
    <cellStyle name="Normal_DPTparatransit0708stmt" xfId="23"/>
    <cellStyle name="Normal_Form 11A-Contracts Non-ICT" xfId="78"/>
    <cellStyle name="Note 2" xfId="70"/>
    <cellStyle name="Output 2" xfId="71"/>
    <cellStyle name="Percent 2" xfId="17"/>
    <cellStyle name="Percent 2 2" xfId="72"/>
    <cellStyle name="Percent 3" xfId="18"/>
    <cellStyle name="Percent 3 2" xfId="73"/>
    <cellStyle name="Percent 4" xfId="19"/>
    <cellStyle name="Percent 4 2" xfId="20"/>
    <cellStyle name="Percent 4 2 2" xfId="85"/>
    <cellStyle name="Percent 4 3" xfId="74"/>
    <cellStyle name="Title 2" xfId="75"/>
    <cellStyle name="Total 2" xfId="76"/>
    <cellStyle name="Warning Text 2" xfId="77"/>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'Form 1B-Graphs'!$C$68</c:f>
              <c:strCache>
                <c:ptCount val="1"/>
                <c:pt idx="0">
                  <c:v>Number of Registered Voters</c:v>
                </c:pt>
              </c:strCache>
            </c:strRef>
          </c:tx>
          <c:spPr>
            <a:solidFill>
              <a:schemeClr val="accent4">
                <a:lumMod val="75000"/>
              </a:schemeClr>
            </a:solidFill>
          </c:spPr>
          <c:invertIfNegative val="0"/>
          <c:dPt>
            <c:idx val="15"/>
            <c:invertIfNegative val="0"/>
            <c:bubble3D val="0"/>
            <c:spPr>
              <a:solidFill>
                <a:srgbClr val="FF0000"/>
              </a:solidFill>
            </c:spPr>
          </c:dPt>
          <c:dLbls>
            <c:dLbl>
              <c:idx val="15"/>
              <c:showLegendKey val="0"/>
              <c:showVal val="1"/>
              <c:showCatName val="0"/>
              <c:showSerName val="0"/>
              <c:showPercent val="0"/>
              <c:showBubbleSize val="0"/>
            </c:dLbl>
            <c:showLegendKey val="0"/>
            <c:showVal val="0"/>
            <c:showCatName val="0"/>
            <c:showSerName val="0"/>
            <c:showPercent val="0"/>
            <c:showBubbleSize val="0"/>
          </c:dLbls>
          <c:cat>
            <c:strRef>
              <c:f>'Form 1B-Graphs'!$B$69:$B$84</c:f>
              <c:strCache>
                <c:ptCount val="16"/>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strCache>
            </c:strRef>
          </c:cat>
          <c:val>
            <c:numRef>
              <c:f>'Form 1B-Graphs'!$C$69:$C$84</c:f>
              <c:numCache>
                <c:formatCode>#,##0</c:formatCode>
                <c:ptCount val="16"/>
                <c:pt idx="0">
                  <c:v>448948</c:v>
                </c:pt>
                <c:pt idx="1">
                  <c:v>486937</c:v>
                </c:pt>
                <c:pt idx="2">
                  <c:v>428481</c:v>
                </c:pt>
                <c:pt idx="3">
                  <c:v>421094</c:v>
                </c:pt>
                <c:pt idx="4">
                  <c:v>418285</c:v>
                </c:pt>
                <c:pt idx="5">
                  <c:v>419598</c:v>
                </c:pt>
                <c:pt idx="6">
                  <c:v>415761</c:v>
                </c:pt>
                <c:pt idx="7">
                  <c:v>430259</c:v>
                </c:pt>
                <c:pt idx="8">
                  <c:v>477651</c:v>
                </c:pt>
                <c:pt idx="9">
                  <c:v>465428</c:v>
                </c:pt>
                <c:pt idx="10">
                  <c:v>451988</c:v>
                </c:pt>
                <c:pt idx="11">
                  <c:v>448346</c:v>
                </c:pt>
                <c:pt idx="12">
                  <c:v>456179</c:v>
                </c:pt>
                <c:pt idx="13" formatCode="General">
                  <c:v>464380</c:v>
                </c:pt>
                <c:pt idx="14">
                  <c:v>470668</c:v>
                </c:pt>
                <c:pt idx="15">
                  <c:v>502841</c:v>
                </c:pt>
              </c:numCache>
            </c:numRef>
          </c:val>
        </c:ser>
        <c:dLbls>
          <c:showLegendKey val="0"/>
          <c:showVal val="0"/>
          <c:showCatName val="0"/>
          <c:showSerName val="0"/>
          <c:showPercent val="0"/>
          <c:showBubbleSize val="0"/>
        </c:dLbls>
        <c:gapWidth val="150"/>
        <c:axId val="95464448"/>
        <c:axId val="95474432"/>
      </c:barChart>
      <c:catAx>
        <c:axId val="95464448"/>
        <c:scaling>
          <c:orientation val="minMax"/>
        </c:scaling>
        <c:delete val="0"/>
        <c:axPos val="b"/>
        <c:majorTickMark val="out"/>
        <c:minorTickMark val="none"/>
        <c:tickLblPos val="nextTo"/>
        <c:crossAx val="95474432"/>
        <c:crosses val="autoZero"/>
        <c:auto val="1"/>
        <c:lblAlgn val="ctr"/>
        <c:lblOffset val="100"/>
        <c:noMultiLvlLbl val="0"/>
      </c:catAx>
      <c:valAx>
        <c:axId val="95474432"/>
        <c:scaling>
          <c:orientation val="minMax"/>
          <c:min val="400000"/>
        </c:scaling>
        <c:delete val="0"/>
        <c:axPos val="l"/>
        <c:majorGridlines/>
        <c:numFmt formatCode="#,##0" sourceLinked="1"/>
        <c:majorTickMark val="out"/>
        <c:minorTickMark val="none"/>
        <c:tickLblPos val="nextTo"/>
        <c:crossAx val="954644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5420701865948466"/>
          <c:y val="0.21703519234340282"/>
          <c:w val="0.81095529329617644"/>
          <c:h val="0.63756320555974144"/>
        </c:manualLayout>
      </c:layout>
      <c:barChart>
        <c:barDir val="col"/>
        <c:grouping val="clustered"/>
        <c:varyColors val="0"/>
        <c:ser>
          <c:idx val="0"/>
          <c:order val="0"/>
          <c:tx>
            <c:strRef>
              <c:f>'Form 1B-Graphs'!$F$68</c:f>
              <c:strCache>
                <c:ptCount val="1"/>
                <c:pt idx="0">
                  <c:v>Number of Permanent VBM Voters</c:v>
                </c:pt>
              </c:strCache>
            </c:strRef>
          </c:tx>
          <c:spPr>
            <a:solidFill>
              <a:schemeClr val="accent5">
                <a:lumMod val="50000"/>
              </a:schemeClr>
            </a:solidFill>
          </c:spPr>
          <c:invertIfNegative val="0"/>
          <c:dLbls>
            <c:dLbl>
              <c:idx val="15"/>
              <c:showLegendKey val="0"/>
              <c:showVal val="1"/>
              <c:showCatName val="0"/>
              <c:showSerName val="0"/>
              <c:showPercent val="0"/>
              <c:showBubbleSize val="0"/>
            </c:dLbl>
            <c:showLegendKey val="0"/>
            <c:showVal val="0"/>
            <c:showCatName val="0"/>
            <c:showSerName val="0"/>
            <c:showPercent val="0"/>
            <c:showBubbleSize val="0"/>
          </c:dLbls>
          <c:cat>
            <c:strRef>
              <c:f>'Form 1B-Graphs'!$E$69:$E$84</c:f>
              <c:strCache>
                <c:ptCount val="16"/>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strCache>
            </c:strRef>
          </c:cat>
          <c:val>
            <c:numRef>
              <c:f>'Form 1B-Graphs'!$F$69:$F$84</c:f>
              <c:numCache>
                <c:formatCode>#,##0</c:formatCode>
                <c:ptCount val="16"/>
                <c:pt idx="0">
                  <c:v>91889</c:v>
                </c:pt>
                <c:pt idx="1">
                  <c:v>117132</c:v>
                </c:pt>
                <c:pt idx="2">
                  <c:v>120813</c:v>
                </c:pt>
                <c:pt idx="3">
                  <c:v>124323</c:v>
                </c:pt>
                <c:pt idx="4">
                  <c:v>129523</c:v>
                </c:pt>
                <c:pt idx="5">
                  <c:v>134997</c:v>
                </c:pt>
                <c:pt idx="6">
                  <c:v>140579</c:v>
                </c:pt>
                <c:pt idx="7">
                  <c:v>155245</c:v>
                </c:pt>
                <c:pt idx="8">
                  <c:v>167148</c:v>
                </c:pt>
                <c:pt idx="9">
                  <c:v>170282</c:v>
                </c:pt>
                <c:pt idx="10">
                  <c:v>174383</c:v>
                </c:pt>
                <c:pt idx="11">
                  <c:v>176983</c:v>
                </c:pt>
                <c:pt idx="12">
                  <c:v>183733</c:v>
                </c:pt>
                <c:pt idx="13" formatCode="General">
                  <c:v>202388</c:v>
                </c:pt>
                <c:pt idx="14">
                  <c:v>206921</c:v>
                </c:pt>
                <c:pt idx="15">
                  <c:v>235106</c:v>
                </c:pt>
              </c:numCache>
            </c:numRef>
          </c:val>
        </c:ser>
        <c:dLbls>
          <c:showLegendKey val="0"/>
          <c:showVal val="0"/>
          <c:showCatName val="0"/>
          <c:showSerName val="0"/>
          <c:showPercent val="0"/>
          <c:showBubbleSize val="0"/>
        </c:dLbls>
        <c:gapWidth val="150"/>
        <c:axId val="95827072"/>
        <c:axId val="95828608"/>
      </c:barChart>
      <c:catAx>
        <c:axId val="95827072"/>
        <c:scaling>
          <c:orientation val="minMax"/>
        </c:scaling>
        <c:delete val="0"/>
        <c:axPos val="b"/>
        <c:majorTickMark val="out"/>
        <c:minorTickMark val="none"/>
        <c:tickLblPos val="nextTo"/>
        <c:txPr>
          <a:bodyPr rot="-5400000" vert="horz"/>
          <a:lstStyle/>
          <a:p>
            <a:pPr>
              <a:defRPr sz="1000" baseline="0"/>
            </a:pPr>
            <a:endParaRPr lang="en-US"/>
          </a:p>
        </c:txPr>
        <c:crossAx val="95828608"/>
        <c:crosses val="autoZero"/>
        <c:auto val="1"/>
        <c:lblAlgn val="ctr"/>
        <c:lblOffset val="100"/>
        <c:noMultiLvlLbl val="0"/>
      </c:catAx>
      <c:valAx>
        <c:axId val="95828608"/>
        <c:scaling>
          <c:orientation val="minMax"/>
        </c:scaling>
        <c:delete val="0"/>
        <c:axPos val="l"/>
        <c:majorGridlines/>
        <c:numFmt formatCode="#,##0" sourceLinked="1"/>
        <c:majorTickMark val="out"/>
        <c:minorTickMark val="none"/>
        <c:tickLblPos val="nextTo"/>
        <c:crossAx val="9582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 Turnout</a:t>
            </a:r>
            <a:r>
              <a:rPr lang="en-US" sz="1200" baseline="0"/>
              <a:t> Voting at Polls vs % Turnout Voting VBM</a:t>
            </a:r>
            <a:endParaRPr lang="en-US" sz="1200"/>
          </a:p>
        </c:rich>
      </c:tx>
      <c:layout>
        <c:manualLayout>
          <c:xMode val="edge"/>
          <c:yMode val="edge"/>
          <c:x val="0.11057476741277236"/>
          <c:y val="1.359965818811861E-2"/>
        </c:manualLayout>
      </c:layout>
      <c:overlay val="0"/>
    </c:title>
    <c:autoTitleDeleted val="0"/>
    <c:plotArea>
      <c:layout>
        <c:manualLayout>
          <c:layoutTarget val="inner"/>
          <c:xMode val="edge"/>
          <c:yMode val="edge"/>
          <c:x val="9.1849518810148731E-2"/>
          <c:y val="0.14338872384781276"/>
          <c:w val="0.894010737294202"/>
          <c:h val="0.70706117770856725"/>
        </c:manualLayout>
      </c:layout>
      <c:barChart>
        <c:barDir val="col"/>
        <c:grouping val="clustered"/>
        <c:varyColors val="0"/>
        <c:ser>
          <c:idx val="0"/>
          <c:order val="0"/>
          <c:tx>
            <c:strRef>
              <c:f>'Form 1B-Graphs'!$I$68</c:f>
              <c:strCache>
                <c:ptCount val="1"/>
                <c:pt idx="0">
                  <c:v>% Turnout @ Polls</c:v>
                </c:pt>
              </c:strCache>
            </c:strRef>
          </c:tx>
          <c:spPr>
            <a:solidFill>
              <a:schemeClr val="accent3">
                <a:lumMod val="75000"/>
              </a:schemeClr>
            </a:solidFill>
          </c:spPr>
          <c:invertIfNegative val="0"/>
          <c:cat>
            <c:strRef>
              <c:f>'Form 1B-Graphs'!$H$69:$H$84</c:f>
              <c:strCache>
                <c:ptCount val="16"/>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strCache>
            </c:strRef>
          </c:cat>
          <c:val>
            <c:numRef>
              <c:f>'Form 1B-Graphs'!$I$69:$I$84</c:f>
              <c:numCache>
                <c:formatCode>0%</c:formatCode>
                <c:ptCount val="16"/>
                <c:pt idx="0">
                  <c:v>0.63</c:v>
                </c:pt>
                <c:pt idx="1">
                  <c:v>0.63</c:v>
                </c:pt>
                <c:pt idx="2">
                  <c:v>0.6</c:v>
                </c:pt>
                <c:pt idx="3">
                  <c:v>0.52</c:v>
                </c:pt>
                <c:pt idx="4">
                  <c:v>0.58000000000000007</c:v>
                </c:pt>
                <c:pt idx="5">
                  <c:v>0.48</c:v>
                </c:pt>
                <c:pt idx="6">
                  <c:v>0.6</c:v>
                </c:pt>
                <c:pt idx="7">
                  <c:v>0.48</c:v>
                </c:pt>
                <c:pt idx="8">
                  <c:v>0.53986220472440949</c:v>
                </c:pt>
                <c:pt idx="9">
                  <c:v>0.33727741785312493</c:v>
                </c:pt>
                <c:pt idx="10">
                  <c:v>0.31615406472599716</c:v>
                </c:pt>
                <c:pt idx="11">
                  <c:v>0.39904071804697394</c:v>
                </c:pt>
                <c:pt idx="12">
                  <c:v>0.5</c:v>
                </c:pt>
                <c:pt idx="13">
                  <c:v>0.43000000000000005</c:v>
                </c:pt>
                <c:pt idx="14">
                  <c:v>0.32999999999999996</c:v>
                </c:pt>
                <c:pt idx="15">
                  <c:v>0.47</c:v>
                </c:pt>
              </c:numCache>
            </c:numRef>
          </c:val>
        </c:ser>
        <c:ser>
          <c:idx val="1"/>
          <c:order val="1"/>
          <c:tx>
            <c:strRef>
              <c:f>'Form 1B-Graphs'!$J$68</c:f>
              <c:strCache>
                <c:ptCount val="1"/>
                <c:pt idx="0">
                  <c:v>% Turnout VBM</c:v>
                </c:pt>
              </c:strCache>
            </c:strRef>
          </c:tx>
          <c:spPr>
            <a:solidFill>
              <a:schemeClr val="accent3">
                <a:lumMod val="50000"/>
              </a:schemeClr>
            </a:solidFill>
          </c:spPr>
          <c:invertIfNegative val="0"/>
          <c:cat>
            <c:strRef>
              <c:f>'Form 1B-Graphs'!$H$69:$H$84</c:f>
              <c:strCache>
                <c:ptCount val="16"/>
                <c:pt idx="0">
                  <c:v>Mar-04</c:v>
                </c:pt>
                <c:pt idx="1">
                  <c:v>Nov-04</c:v>
                </c:pt>
                <c:pt idx="2">
                  <c:v>Nov-05</c:v>
                </c:pt>
                <c:pt idx="3">
                  <c:v>Jun-06</c:v>
                </c:pt>
                <c:pt idx="4">
                  <c:v>Nov-06</c:v>
                </c:pt>
                <c:pt idx="5">
                  <c:v>Nov-07</c:v>
                </c:pt>
                <c:pt idx="6">
                  <c:v>Feb-08</c:v>
                </c:pt>
                <c:pt idx="7">
                  <c:v>Jun-08</c:v>
                </c:pt>
                <c:pt idx="8">
                  <c:v>Nov-08</c:v>
                </c:pt>
                <c:pt idx="9">
                  <c:v>May-09</c:v>
                </c:pt>
                <c:pt idx="10">
                  <c:v>Nov-09</c:v>
                </c:pt>
                <c:pt idx="11">
                  <c:v>Jun-10</c:v>
                </c:pt>
                <c:pt idx="12">
                  <c:v>Nov-10</c:v>
                </c:pt>
                <c:pt idx="13">
                  <c:v>Nov-11</c:v>
                </c:pt>
                <c:pt idx="14">
                  <c:v>Jun-12</c:v>
                </c:pt>
                <c:pt idx="15">
                  <c:v>Nov-12</c:v>
                </c:pt>
              </c:strCache>
            </c:strRef>
          </c:cat>
          <c:val>
            <c:numRef>
              <c:f>'Form 1B-Graphs'!$J$69:$J$84</c:f>
              <c:numCache>
                <c:formatCode>0%</c:formatCode>
                <c:ptCount val="16"/>
                <c:pt idx="0">
                  <c:v>0.37</c:v>
                </c:pt>
                <c:pt idx="1">
                  <c:v>0.37</c:v>
                </c:pt>
                <c:pt idx="2">
                  <c:v>0.4</c:v>
                </c:pt>
                <c:pt idx="3">
                  <c:v>0.48</c:v>
                </c:pt>
                <c:pt idx="4">
                  <c:v>0.42</c:v>
                </c:pt>
                <c:pt idx="5">
                  <c:v>0.52</c:v>
                </c:pt>
                <c:pt idx="6">
                  <c:v>0.4</c:v>
                </c:pt>
                <c:pt idx="7">
                  <c:v>0.52</c:v>
                </c:pt>
                <c:pt idx="8">
                  <c:v>0.46013779527559057</c:v>
                </c:pt>
                <c:pt idx="9">
                  <c:v>0.66272258214687507</c:v>
                </c:pt>
                <c:pt idx="10">
                  <c:v>0.68384593527400284</c:v>
                </c:pt>
                <c:pt idx="11">
                  <c:v>0.60095928195302606</c:v>
                </c:pt>
                <c:pt idx="12">
                  <c:v>0.5</c:v>
                </c:pt>
                <c:pt idx="13">
                  <c:v>0.56999999999999995</c:v>
                </c:pt>
                <c:pt idx="14">
                  <c:v>0.67</c:v>
                </c:pt>
                <c:pt idx="15">
                  <c:v>0.53</c:v>
                </c:pt>
              </c:numCache>
            </c:numRef>
          </c:val>
        </c:ser>
        <c:dLbls>
          <c:showLegendKey val="0"/>
          <c:showVal val="0"/>
          <c:showCatName val="0"/>
          <c:showSerName val="0"/>
          <c:showPercent val="0"/>
          <c:showBubbleSize val="0"/>
        </c:dLbls>
        <c:gapWidth val="150"/>
        <c:axId val="95874048"/>
        <c:axId val="95875840"/>
      </c:barChart>
      <c:catAx>
        <c:axId val="95874048"/>
        <c:scaling>
          <c:orientation val="minMax"/>
        </c:scaling>
        <c:delete val="0"/>
        <c:axPos val="b"/>
        <c:majorTickMark val="out"/>
        <c:minorTickMark val="none"/>
        <c:tickLblPos val="nextTo"/>
        <c:crossAx val="95875840"/>
        <c:crosses val="autoZero"/>
        <c:auto val="1"/>
        <c:lblAlgn val="ctr"/>
        <c:lblOffset val="100"/>
        <c:noMultiLvlLbl val="0"/>
      </c:catAx>
      <c:valAx>
        <c:axId val="95875840"/>
        <c:scaling>
          <c:orientation val="minMax"/>
        </c:scaling>
        <c:delete val="0"/>
        <c:axPos val="l"/>
        <c:majorGridlines/>
        <c:numFmt formatCode="0%" sourceLinked="1"/>
        <c:majorTickMark val="out"/>
        <c:minorTickMark val="none"/>
        <c:tickLblPos val="nextTo"/>
        <c:crossAx val="95874048"/>
        <c:crosses val="autoZero"/>
        <c:crossBetween val="between"/>
      </c:valAx>
    </c:plotArea>
    <c:legend>
      <c:legendPos val="r"/>
      <c:layout>
        <c:manualLayout>
          <c:xMode val="edge"/>
          <c:yMode val="edge"/>
          <c:x val="0.26259068221616017"/>
          <c:y val="7.7288624367803288E-2"/>
          <c:w val="0.53762064159529233"/>
          <c:h val="5.8560181700000116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'Form 1B-Graphs'!$C$12</c:f>
              <c:strCache>
                <c:ptCount val="1"/>
                <c:pt idx="0">
                  <c:v>Number of Outreach Events</c:v>
                </c:pt>
              </c:strCache>
            </c:strRef>
          </c:tx>
          <c:invertIfNegative val="0"/>
          <c:dLbls>
            <c:showLegendKey val="0"/>
            <c:showVal val="1"/>
            <c:showCatName val="0"/>
            <c:showSerName val="0"/>
            <c:showPercent val="0"/>
            <c:showBubbleSize val="0"/>
            <c:showLeaderLines val="0"/>
          </c:dLbls>
          <c:cat>
            <c:strRef>
              <c:f>'Form 1B-Graphs'!$B$13:$B$23</c:f>
              <c:strCache>
                <c:ptCount val="11"/>
                <c:pt idx="0">
                  <c:v>FY 04-05(1)</c:v>
                </c:pt>
                <c:pt idx="1">
                  <c:v>FY05-06(2)</c:v>
                </c:pt>
                <c:pt idx="2">
                  <c:v>FY06-07(1)</c:v>
                </c:pt>
                <c:pt idx="3">
                  <c:v>FY07-08(3)</c:v>
                </c:pt>
                <c:pt idx="4">
                  <c:v>FY08-09(1)</c:v>
                </c:pt>
                <c:pt idx="5">
                  <c:v>FY09-10(2)</c:v>
                </c:pt>
                <c:pt idx="6">
                  <c:v>FY10-11(1)</c:v>
                </c:pt>
                <c:pt idx="7">
                  <c:v>FY11-12(3)</c:v>
                </c:pt>
                <c:pt idx="8">
                  <c:v>FY12-13(1)</c:v>
                </c:pt>
                <c:pt idx="9">
                  <c:v>FY13-14(2)</c:v>
                </c:pt>
                <c:pt idx="10">
                  <c:v>FY14-15(1)</c:v>
                </c:pt>
              </c:strCache>
            </c:strRef>
          </c:cat>
          <c:val>
            <c:numRef>
              <c:f>'Form 1B-Graphs'!$C$13:$C$23</c:f>
              <c:numCache>
                <c:formatCode>General</c:formatCode>
                <c:ptCount val="11"/>
                <c:pt idx="0">
                  <c:v>377</c:v>
                </c:pt>
                <c:pt idx="1">
                  <c:v>626</c:v>
                </c:pt>
                <c:pt idx="2">
                  <c:v>432</c:v>
                </c:pt>
                <c:pt idx="3">
                  <c:v>313</c:v>
                </c:pt>
                <c:pt idx="4">
                  <c:v>261</c:v>
                </c:pt>
                <c:pt idx="5">
                  <c:v>222</c:v>
                </c:pt>
                <c:pt idx="6">
                  <c:v>150</c:v>
                </c:pt>
                <c:pt idx="7">
                  <c:v>450</c:v>
                </c:pt>
                <c:pt idx="8">
                  <c:v>350</c:v>
                </c:pt>
                <c:pt idx="9">
                  <c:v>370</c:v>
                </c:pt>
                <c:pt idx="10">
                  <c:v>180</c:v>
                </c:pt>
              </c:numCache>
            </c:numRef>
          </c:val>
        </c:ser>
        <c:dLbls>
          <c:showLegendKey val="0"/>
          <c:showVal val="0"/>
          <c:showCatName val="0"/>
          <c:showSerName val="0"/>
          <c:showPercent val="0"/>
          <c:showBubbleSize val="0"/>
        </c:dLbls>
        <c:gapWidth val="150"/>
        <c:axId val="96035968"/>
        <c:axId val="96037504"/>
      </c:barChart>
      <c:catAx>
        <c:axId val="96035968"/>
        <c:scaling>
          <c:orientation val="minMax"/>
        </c:scaling>
        <c:delete val="0"/>
        <c:axPos val="b"/>
        <c:majorTickMark val="out"/>
        <c:minorTickMark val="none"/>
        <c:tickLblPos val="nextTo"/>
        <c:crossAx val="96037504"/>
        <c:crosses val="autoZero"/>
        <c:auto val="1"/>
        <c:lblAlgn val="ctr"/>
        <c:lblOffset val="100"/>
        <c:noMultiLvlLbl val="0"/>
      </c:catAx>
      <c:valAx>
        <c:axId val="96037504"/>
        <c:scaling>
          <c:orientation val="minMax"/>
        </c:scaling>
        <c:delete val="0"/>
        <c:axPos val="l"/>
        <c:majorGridlines/>
        <c:numFmt formatCode="General" sourceLinked="1"/>
        <c:majorTickMark val="out"/>
        <c:minorTickMark val="none"/>
        <c:tickLblPos val="nextTo"/>
        <c:crossAx val="9603596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'Form 1B-Graphs'!$F$12</c:f>
              <c:strCache>
                <c:ptCount val="1"/>
                <c:pt idx="0">
                  <c:v>Number of Bilingual Pollworkers</c:v>
                </c:pt>
              </c:strCache>
            </c:strRef>
          </c:tx>
          <c:invertIfNegative val="0"/>
          <c:dLbls>
            <c:showLegendKey val="0"/>
            <c:showVal val="1"/>
            <c:showCatName val="0"/>
            <c:showSerName val="0"/>
            <c:showPercent val="0"/>
            <c:showBubbleSize val="0"/>
            <c:showLeaderLines val="0"/>
          </c:dLbls>
          <c:cat>
            <c:strRef>
              <c:f>'Form 1B-Graphs'!$E$13:$E$23</c:f>
              <c:strCache>
                <c:ptCount val="11"/>
                <c:pt idx="0">
                  <c:v>FY 04-05(1)</c:v>
                </c:pt>
                <c:pt idx="1">
                  <c:v>FY05-06(2)</c:v>
                </c:pt>
                <c:pt idx="2">
                  <c:v>FY06-07(1)</c:v>
                </c:pt>
                <c:pt idx="3">
                  <c:v>FY07-08(3)</c:v>
                </c:pt>
                <c:pt idx="4">
                  <c:v>FY08-09(1)</c:v>
                </c:pt>
                <c:pt idx="5">
                  <c:v>FY09-10(2)</c:v>
                </c:pt>
                <c:pt idx="6">
                  <c:v>FY10-11(1)</c:v>
                </c:pt>
                <c:pt idx="7">
                  <c:v>FY11-12(3)</c:v>
                </c:pt>
                <c:pt idx="8">
                  <c:v>FY12-13(1) </c:v>
                </c:pt>
                <c:pt idx="9">
                  <c:v>FY13-14(2)</c:v>
                </c:pt>
                <c:pt idx="10">
                  <c:v>FY14-15(1)</c:v>
                </c:pt>
              </c:strCache>
            </c:strRef>
          </c:cat>
          <c:val>
            <c:numRef>
              <c:f>'Form 1B-Graphs'!$F$13:$F$23</c:f>
              <c:numCache>
                <c:formatCode>General</c:formatCode>
                <c:ptCount val="11"/>
                <c:pt idx="0">
                  <c:v>1224</c:v>
                </c:pt>
                <c:pt idx="1">
                  <c:v>1840</c:v>
                </c:pt>
                <c:pt idx="2">
                  <c:v>951</c:v>
                </c:pt>
                <c:pt idx="3">
                  <c:v>1600</c:v>
                </c:pt>
                <c:pt idx="4">
                  <c:v>1600</c:v>
                </c:pt>
                <c:pt idx="5">
                  <c:v>1600</c:v>
                </c:pt>
                <c:pt idx="6">
                  <c:v>800</c:v>
                </c:pt>
                <c:pt idx="7">
                  <c:v>2400</c:v>
                </c:pt>
                <c:pt idx="8">
                  <c:v>700</c:v>
                </c:pt>
                <c:pt idx="9">
                  <c:v>1150</c:v>
                </c:pt>
                <c:pt idx="10">
                  <c:v>650</c:v>
                </c:pt>
              </c:numCache>
            </c:numRef>
          </c:val>
        </c:ser>
        <c:dLbls>
          <c:showLegendKey val="0"/>
          <c:showVal val="0"/>
          <c:showCatName val="0"/>
          <c:showSerName val="0"/>
          <c:showPercent val="0"/>
          <c:showBubbleSize val="0"/>
        </c:dLbls>
        <c:gapWidth val="150"/>
        <c:axId val="96076160"/>
        <c:axId val="96077696"/>
      </c:barChart>
      <c:catAx>
        <c:axId val="96076160"/>
        <c:scaling>
          <c:orientation val="minMax"/>
        </c:scaling>
        <c:delete val="0"/>
        <c:axPos val="b"/>
        <c:majorTickMark val="out"/>
        <c:minorTickMark val="none"/>
        <c:tickLblPos val="nextTo"/>
        <c:crossAx val="96077696"/>
        <c:crosses val="autoZero"/>
        <c:auto val="1"/>
        <c:lblAlgn val="ctr"/>
        <c:lblOffset val="100"/>
        <c:noMultiLvlLbl val="0"/>
      </c:catAx>
      <c:valAx>
        <c:axId val="96077696"/>
        <c:scaling>
          <c:orientation val="minMax"/>
        </c:scaling>
        <c:delete val="0"/>
        <c:axPos val="l"/>
        <c:majorGridlines/>
        <c:numFmt formatCode="General" sourceLinked="1"/>
        <c:majorTickMark val="out"/>
        <c:minorTickMark val="none"/>
        <c:tickLblPos val="nextTo"/>
        <c:crossAx val="960761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84</xdr:row>
      <xdr:rowOff>119062</xdr:rowOff>
    </xdr:from>
    <xdr:to>
      <xdr:col>3</xdr:col>
      <xdr:colOff>9525</xdr:colOff>
      <xdr:row>108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84</xdr:row>
      <xdr:rowOff>138112</xdr:rowOff>
    </xdr:from>
    <xdr:to>
      <xdr:col>6</xdr:col>
      <xdr:colOff>19050</xdr:colOff>
      <xdr:row>108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12700</xdr:colOff>
      <xdr:row>84</xdr:row>
      <xdr:rowOff>134937</xdr:rowOff>
    </xdr:from>
    <xdr:to>
      <xdr:col>10</xdr:col>
      <xdr:colOff>0</xdr:colOff>
      <xdr:row>107</xdr:row>
      <xdr:rowOff>146050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25</xdr:row>
      <xdr:rowOff>4762</xdr:rowOff>
    </xdr:from>
    <xdr:to>
      <xdr:col>3</xdr:col>
      <xdr:colOff>9525</xdr:colOff>
      <xdr:row>48</xdr:row>
      <xdr:rowOff>9525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25</xdr:row>
      <xdr:rowOff>4761</xdr:rowOff>
    </xdr:from>
    <xdr:to>
      <xdr:col>5</xdr:col>
      <xdr:colOff>1943100</xdr:colOff>
      <xdr:row>48</xdr:row>
      <xdr:rowOff>9525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466725</xdr:colOff>
      <xdr:row>9</xdr:row>
      <xdr:rowOff>0</xdr:rowOff>
    </xdr:from>
    <xdr:to>
      <xdr:col>37</xdr:col>
      <xdr:colOff>323850</xdr:colOff>
      <xdr:row>16</xdr:row>
      <xdr:rowOff>95250</xdr:rowOff>
    </xdr:to>
    <xdr:sp macro="" textlink="">
      <xdr:nvSpPr>
        <xdr:cNvPr id="2" name="TextBox 1"/>
        <xdr:cNvSpPr txBox="1"/>
      </xdr:nvSpPr>
      <xdr:spPr>
        <a:xfrm>
          <a:off x="5505450" y="2333625"/>
          <a:ext cx="49815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0" b="1"/>
            <a:t>Not Applicable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11</xdr:col>
      <xdr:colOff>314325</xdr:colOff>
      <xdr:row>11</xdr:row>
      <xdr:rowOff>85725</xdr:rowOff>
    </xdr:to>
    <xdr:sp macro="" textlink="">
      <xdr:nvSpPr>
        <xdr:cNvPr id="6" name="TextBox 5"/>
        <xdr:cNvSpPr txBox="1"/>
      </xdr:nvSpPr>
      <xdr:spPr>
        <a:xfrm>
          <a:off x="5181600" y="2552700"/>
          <a:ext cx="49815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0" b="1"/>
            <a:t>Not Applicable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7</xdr:row>
      <xdr:rowOff>0</xdr:rowOff>
    </xdr:from>
    <xdr:to>
      <xdr:col>13</xdr:col>
      <xdr:colOff>536575</xdr:colOff>
      <xdr:row>11</xdr:row>
      <xdr:rowOff>53975</xdr:rowOff>
    </xdr:to>
    <xdr:sp macro="" textlink="">
      <xdr:nvSpPr>
        <xdr:cNvPr id="2" name="TextBox 1"/>
        <xdr:cNvSpPr txBox="1"/>
      </xdr:nvSpPr>
      <xdr:spPr>
        <a:xfrm>
          <a:off x="5238750" y="1449917"/>
          <a:ext cx="49815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0" b="1"/>
            <a:t>Not Applicable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11</xdr:row>
      <xdr:rowOff>0</xdr:rowOff>
    </xdr:from>
    <xdr:to>
      <xdr:col>11</xdr:col>
      <xdr:colOff>228599</xdr:colOff>
      <xdr:row>18</xdr:row>
      <xdr:rowOff>95250</xdr:rowOff>
    </xdr:to>
    <xdr:sp macro="" textlink="">
      <xdr:nvSpPr>
        <xdr:cNvPr id="3" name="TextBox 2"/>
        <xdr:cNvSpPr txBox="1"/>
      </xdr:nvSpPr>
      <xdr:spPr>
        <a:xfrm>
          <a:off x="2943224" y="2228850"/>
          <a:ext cx="58959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0" b="1"/>
            <a:t>Not Applicable</a:t>
          </a:r>
        </a:p>
        <a:p>
          <a:pPr algn="ctr"/>
          <a:r>
            <a:rPr lang="en-US" sz="1100" b="1">
              <a:solidFill>
                <a:schemeClr val="dk1"/>
              </a:solidFill>
              <a:effectLst/>
              <a:latin typeface="+mn-lt"/>
              <a:ea typeface="+mn-ea"/>
              <a:cs typeface="+mn-cs"/>
            </a:rPr>
            <a:t>The Department received Prop J approval for FY 2013-14 during the prior year’s budget cycle.</a:t>
          </a:r>
          <a:r>
            <a:rPr lang="en-US" sz="1100" b="1" baseline="0">
              <a:solidFill>
                <a:schemeClr val="dk1"/>
              </a:solidFill>
              <a:effectLst/>
              <a:latin typeface="+mn-lt"/>
              <a:ea typeface="+mn-ea"/>
              <a:cs typeface="+mn-cs"/>
            </a:rPr>
            <a:t> </a:t>
          </a:r>
          <a:endParaRPr lang="en-US" sz="60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16</xdr:row>
      <xdr:rowOff>0</xdr:rowOff>
    </xdr:from>
    <xdr:to>
      <xdr:col>12</xdr:col>
      <xdr:colOff>561975</xdr:colOff>
      <xdr:row>22</xdr:row>
      <xdr:rowOff>219075</xdr:rowOff>
    </xdr:to>
    <xdr:sp macro="" textlink="">
      <xdr:nvSpPr>
        <xdr:cNvPr id="2" name="TextBox 1"/>
        <xdr:cNvSpPr txBox="1"/>
      </xdr:nvSpPr>
      <xdr:spPr>
        <a:xfrm>
          <a:off x="1828800" y="2762250"/>
          <a:ext cx="5895975"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0" b="1"/>
            <a:t>Not Applicable</a:t>
          </a:r>
        </a:p>
        <a:p>
          <a:pPr algn="ctr"/>
          <a:r>
            <a:rPr lang="en-US" sz="1100" b="1">
              <a:solidFill>
                <a:schemeClr val="dk1"/>
              </a:solidFill>
              <a:effectLst/>
              <a:latin typeface="+mn-lt"/>
              <a:ea typeface="+mn-ea"/>
              <a:cs typeface="+mn-cs"/>
            </a:rPr>
            <a:t>The Department received Prop J approval for FY 2013-14 during the prior year’s budget cycle.</a:t>
          </a:r>
          <a:r>
            <a:rPr lang="en-US" sz="1100" b="1" baseline="0">
              <a:solidFill>
                <a:schemeClr val="dk1"/>
              </a:solidFill>
              <a:effectLst/>
              <a:latin typeface="+mn-lt"/>
              <a:ea typeface="+mn-ea"/>
              <a:cs typeface="+mn-cs"/>
            </a:rPr>
            <a:t> </a:t>
          </a:r>
          <a:endParaRPr lang="en-US" sz="6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fcontroller.org/BUDGET/2011/Two%20year%20budget/Two-Year%20Budget%20Forms-ACTIV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sfcontroller.org/DOCUME~1/CCZERW~1.CON/LOCALS~1/Temp/notes9B2956/Form%2010%20-%20Capi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UDGET/2012/Budget%20Instructions/Prop%20J/Prop%20J%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UDGET/2012/Budget%20Instructions/Prop%20J/Prop%20J%20S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udget%20Instructions\FY12-13%20Budget%20Forms_MBOedits_2011.11.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sfcontroller.org/modules/Budget%20Instruction%20Forms_FINAL%20FY12-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sfcontroller.org/Budget/2012-2013/Budget%20Instructions/Budget%20Instruction%20Form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BUDGET\2011\Two%20year%20budget\Two-Year%20Budget%20Forms-ACTIV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sfcontroller.org/DOCUME~1/JBullen/LOCALS~1/Temp/notes003EDB/~724763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DGET/2011/Two%20year%20budget/Two-Year%20Budget%20Forms-ACTIV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sfgov.org/DOCUME~1/CCZERW~1.CON/LOCALS~1/Temp/notes9B2956/~46915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CCZERW~1.CON/LOCALS~1/Temp/notes9B2956/Form%2010%20-%20Capi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Prop J Contract Cost Detail"/>
      <sheetName val="Prop J Summary"/>
      <sheetName val="Contract Cost Detail"/>
      <sheetName val="Summary"/>
    </sheetNames>
    <sheetDataSet>
      <sheetData sheetId="0">
        <row r="3">
          <cell r="A3" t="str">
            <v>[DEPARTMENT], [DIVISION]</v>
          </cell>
        </row>
        <row r="36">
          <cell r="F36">
            <v>0</v>
          </cell>
          <cell r="G36">
            <v>0</v>
          </cell>
        </row>
        <row r="37">
          <cell r="F37">
            <v>0</v>
          </cell>
          <cell r="G37">
            <v>0</v>
          </cell>
        </row>
        <row r="38">
          <cell r="F38">
            <v>0</v>
          </cell>
          <cell r="G38">
            <v>0</v>
          </cell>
        </row>
        <row r="39">
          <cell r="F39">
            <v>0</v>
          </cell>
          <cell r="G39">
            <v>0</v>
          </cell>
        </row>
        <row r="52">
          <cell r="F52">
            <v>0</v>
          </cell>
          <cell r="G52">
            <v>0</v>
          </cell>
        </row>
      </sheetData>
      <sheetData sheetId="1" refreshError="1"/>
      <sheetData sheetId="2"/>
      <sheetData sheetId="3">
        <row r="10">
          <cell r="P10">
            <v>0</v>
          </cell>
        </row>
      </sheetData>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 J - Main"/>
      <sheetName val="Contract Cost Detail"/>
      <sheetName val="Summary"/>
    </sheetNames>
    <sheetDataSet>
      <sheetData sheetId="0" refreshError="1"/>
      <sheetData sheetId="1" refreshError="1">
        <row r="5">
          <cell r="F5">
            <v>20670041</v>
          </cell>
          <cell r="G5">
            <v>20670041</v>
          </cell>
        </row>
        <row r="10">
          <cell r="P10">
            <v>15054.02513089007</v>
          </cell>
          <cell r="Q10">
            <v>18299.235392670136</v>
          </cell>
        </row>
        <row r="11">
          <cell r="P11">
            <v>11965.085026178031</v>
          </cell>
          <cell r="Q11">
            <v>14548.751623036665</v>
          </cell>
        </row>
        <row r="15">
          <cell r="P15">
            <v>6400.5056852356083</v>
          </cell>
          <cell r="Q15">
            <v>7212.1327717068025</v>
          </cell>
        </row>
        <row r="16">
          <cell r="P16">
            <v>5627.9617650471264</v>
          </cell>
          <cell r="Q16">
            <v>6274.1367809214717</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Change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Table"/>
      <sheetName val="Form 1B-Graphs"/>
      <sheetName val="Form 2A-Revenue Report"/>
      <sheetName val="Form 2B-Fees &amp; Fines"/>
      <sheetName val="Form 2C-Fee Cost Recovery "/>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
      <sheetName val="Form 11B - Contracts ICT"/>
      <sheetName val="FMCS"/>
      <sheetName val="Contact Sheet"/>
      <sheetName val="Prop J - Main Template"/>
      <sheetName val="Prop J Contract Cost Detail"/>
      <sheetName val="Prop J Summary"/>
      <sheetName val="Prop J - Sample"/>
    </sheetNames>
    <sheetDataSet>
      <sheetData sheetId="0"/>
      <sheetData sheetId="1"/>
      <sheetData sheetId="2"/>
      <sheetData sheetId="3">
        <row r="4">
          <cell r="Q4" t="str">
            <v>Yes</v>
          </cell>
        </row>
        <row r="5">
          <cell r="Q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A - MajorChanges"/>
      <sheetName val="Form 1B-Graph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9-Capital Request (Online)"/>
      <sheetName val="Form 10-One Time Efficiency"/>
      <sheetName val="Form 11A - Contracts Non-ICT"/>
      <sheetName val="Form 11B - Contracts ICT"/>
      <sheetName val="FMCS"/>
      <sheetName val="Contact Sheet"/>
      <sheetName val="Prop J - Main Template"/>
      <sheetName val="Prop J Contract Cost Detail"/>
      <sheetName val="Prop J Summary"/>
      <sheetName val="Prop J - Sample"/>
    </sheetNames>
    <sheetDataSet>
      <sheetData sheetId="0" refreshError="1"/>
      <sheetData sheetId="1" refreshError="1"/>
      <sheetData sheetId="2" refreshError="1"/>
      <sheetData sheetId="3">
        <row r="3">
          <cell r="Q3" t="str">
            <v>Yes</v>
          </cell>
        </row>
        <row r="4">
          <cell r="Q4" t="str">
            <v>No</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 Major Changes"/>
      <sheetName val="Form 2A-Revenue Report"/>
      <sheetName val="Form 2B-Fees &amp; Fines"/>
      <sheetName val="Form 2C-Fee Cost Recovery"/>
      <sheetName val="Form 2C-Sample"/>
      <sheetName val="Form 3A-Expenditure Report"/>
      <sheetName val="Form 3B-Children's Services"/>
      <sheetName val="Form 3C-Public Education Fund"/>
      <sheetName val="Form 4-Equipment"/>
      <sheetName val="Form 5-IT (Online)"/>
      <sheetName val="Form 6-Contingency Plan"/>
      <sheetName val="Form 7-Position Reductions"/>
      <sheetName val="Form 8-Legislative Changes"/>
      <sheetName val="Form 10-One Time Efficiency"/>
      <sheetName val="Form 11-Contracts"/>
      <sheetName val="FMCS"/>
      <sheetName val="Contact Sheet"/>
      <sheetName val="Prop J Template"/>
      <sheetName val="Prop J Sample"/>
    </sheetNames>
    <sheetDataSet>
      <sheetData sheetId="0"/>
      <sheetData sheetId="1"/>
      <sheetData sheetId="2">
        <row r="3">
          <cell r="Q3" t="str">
            <v>Yes</v>
          </cell>
        </row>
        <row r="4">
          <cell r="Q4"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Request Form"/>
      <sheetName val="Drop-Down Menu Lists"/>
    </sheetNames>
    <sheetDataSet>
      <sheetData sheetId="0"/>
      <sheetData sheetId="1">
        <row r="2">
          <cell r="A2" t="str">
            <v>**Subsystem Choices**</v>
          </cell>
        </row>
        <row r="3">
          <cell r="A3" t="str">
            <v>Roof - Tile</v>
          </cell>
        </row>
        <row r="4">
          <cell r="A4" t="str">
            <v>Roof - Metal, Concrete</v>
          </cell>
        </row>
        <row r="5">
          <cell r="A5" t="str">
            <v>Roof - Built-up, Mmbrn, Cdr, Shingle</v>
          </cell>
        </row>
        <row r="6">
          <cell r="A6" t="str">
            <v>Roof - 15-yr roof</v>
          </cell>
        </row>
        <row r="7">
          <cell r="A7" t="str">
            <v>Rooftop Plaza</v>
          </cell>
        </row>
        <row r="8">
          <cell r="A8" t="str">
            <v>Bldg Exterior (Hard)</v>
          </cell>
        </row>
        <row r="9">
          <cell r="A9" t="str">
            <v>Bldg Exterior (Soft)</v>
          </cell>
        </row>
        <row r="10">
          <cell r="A10" t="str">
            <v>Bldg Exterior (CW)</v>
          </cell>
        </row>
        <row r="11">
          <cell r="A11" t="str">
            <v>Elevators &amp; Conveying Systems</v>
          </cell>
        </row>
        <row r="12">
          <cell r="A12" t="str">
            <v>HVAC - Equipment</v>
          </cell>
        </row>
        <row r="13">
          <cell r="A13" t="str">
            <v>HVAC - Controls</v>
          </cell>
        </row>
        <row r="14">
          <cell r="A14" t="str">
            <v>HVAC - Distribution Systems</v>
          </cell>
        </row>
        <row r="15">
          <cell r="A15" t="str">
            <v>Electrical Equipment</v>
          </cell>
        </row>
        <row r="16">
          <cell r="A16" t="str">
            <v>Electrical Rough-in</v>
          </cell>
        </row>
        <row r="17">
          <cell r="A17" t="str">
            <v>Plumbing Fixtures</v>
          </cell>
        </row>
        <row r="18">
          <cell r="A18" t="str">
            <v>Plumbing Rough-in</v>
          </cell>
        </row>
        <row r="19">
          <cell r="A19" t="str">
            <v>Fire Protection Systems</v>
          </cell>
        </row>
        <row r="20">
          <cell r="A20" t="str">
            <v>Fire Detection Systems</v>
          </cell>
        </row>
        <row r="21">
          <cell r="A21" t="str">
            <v>CCMS (Security, Surveillance Systems)</v>
          </cell>
        </row>
        <row r="22">
          <cell r="A22" t="str">
            <v>Built-in Equipment and Specialties</v>
          </cell>
        </row>
        <row r="23">
          <cell r="A23" t="str">
            <v>Hospital Equipment</v>
          </cell>
        </row>
        <row r="24">
          <cell r="A24" t="str">
            <v>Interior Finishes</v>
          </cell>
        </row>
        <row r="25">
          <cell r="A25" t="str">
            <v>Public Restrooms</v>
          </cell>
        </row>
        <row r="26">
          <cell r="A26" t="str">
            <v>**Infrastructure Categories** (below)</v>
          </cell>
        </row>
        <row r="27">
          <cell r="A27" t="str">
            <v>Roads</v>
          </cell>
        </row>
        <row r="28">
          <cell r="A28" t="str">
            <v>Landscape and Hardscape</v>
          </cell>
        </row>
        <row r="29">
          <cell r="A29" t="str">
            <v>Utilities Distribution</v>
          </cell>
        </row>
        <row r="30">
          <cell r="A30" t="str">
            <v>Utilities Generation</v>
          </cell>
        </row>
        <row r="31">
          <cell r="A31" t="str">
            <v>Security Systems</v>
          </cell>
        </row>
        <row r="32">
          <cell r="A32" t="str">
            <v>Miscellaneous</v>
          </cell>
        </row>
        <row r="37">
          <cell r="A37" t="str">
            <v>Enhancement</v>
          </cell>
        </row>
        <row r="38">
          <cell r="A38" t="str">
            <v>Facility Renewal</v>
          </cell>
        </row>
        <row r="39">
          <cell r="A39" t="str">
            <v>Facility Maintenance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Normal="75" zoomScaleSheetLayoutView="100" workbookViewId="0">
      <selection activeCell="F16" sqref="F16"/>
    </sheetView>
  </sheetViews>
  <sheetFormatPr defaultRowHeight="14.25" x14ac:dyDescent="0.2"/>
  <cols>
    <col min="1" max="1" width="12.140625" style="3" customWidth="1"/>
    <col min="2" max="2" width="22.140625" style="3" customWidth="1"/>
    <col min="3" max="3" width="16.5703125" style="3" customWidth="1"/>
    <col min="4" max="4" width="12.140625" style="3" customWidth="1"/>
    <col min="5" max="5" width="19.140625" style="3" customWidth="1"/>
    <col min="6" max="6" width="13.140625" style="4" customWidth="1"/>
    <col min="7" max="7" width="17.28515625" style="3" customWidth="1"/>
    <col min="8" max="8" width="15.28515625" style="3" customWidth="1"/>
    <col min="9" max="9" width="19.140625" style="5" customWidth="1"/>
    <col min="10" max="10" width="13.7109375" style="3" customWidth="1"/>
    <col min="11" max="11" width="14.85546875" style="3" customWidth="1"/>
    <col min="12" max="12" width="13.28515625" style="3" customWidth="1"/>
    <col min="13" max="13" width="74.28515625" style="3" customWidth="1"/>
    <col min="14" max="16384" width="9.140625" style="3"/>
  </cols>
  <sheetData>
    <row r="1" spans="1:13" ht="18" x14ac:dyDescent="0.2">
      <c r="A1" s="1" t="s">
        <v>0</v>
      </c>
      <c r="B1" s="2"/>
    </row>
    <row r="2" spans="1:13" ht="18" x14ac:dyDescent="0.2">
      <c r="A2" s="6" t="s">
        <v>1</v>
      </c>
      <c r="B2" s="7"/>
    </row>
    <row r="4" spans="1:13" x14ac:dyDescent="0.2">
      <c r="A4" s="3" t="s">
        <v>2</v>
      </c>
    </row>
    <row r="5" spans="1:13" ht="15" thickBot="1" x14ac:dyDescent="0.25"/>
    <row r="6" spans="1:13" s="11" customFormat="1" ht="16.5" thickBot="1" x14ac:dyDescent="0.3">
      <c r="A6" s="8" t="s">
        <v>3</v>
      </c>
      <c r="B6" s="9"/>
      <c r="C6" s="10"/>
      <c r="F6" s="12"/>
      <c r="I6" s="13"/>
    </row>
    <row r="7" spans="1:13" s="11" customFormat="1" ht="15.75" thickBot="1" x14ac:dyDescent="0.25">
      <c r="F7" s="12"/>
      <c r="I7" s="13"/>
    </row>
    <row r="8" spans="1:13" s="19" customFormat="1" ht="69.75" customHeight="1" x14ac:dyDescent="0.2">
      <c r="A8" s="14" t="s">
        <v>4</v>
      </c>
      <c r="B8" s="14" t="s">
        <v>5</v>
      </c>
      <c r="C8" s="14" t="s">
        <v>6</v>
      </c>
      <c r="D8" s="14" t="s">
        <v>7</v>
      </c>
      <c r="E8" s="14" t="s">
        <v>8</v>
      </c>
      <c r="F8" s="15" t="s">
        <v>9</v>
      </c>
      <c r="G8" s="16" t="s">
        <v>10</v>
      </c>
      <c r="H8" s="17" t="s">
        <v>11</v>
      </c>
      <c r="I8" s="18" t="s">
        <v>12</v>
      </c>
      <c r="J8" s="15" t="s">
        <v>13</v>
      </c>
      <c r="K8" s="16" t="s">
        <v>14</v>
      </c>
      <c r="L8" s="17" t="s">
        <v>15</v>
      </c>
      <c r="M8" s="18" t="s">
        <v>16</v>
      </c>
    </row>
    <row r="9" spans="1:13" ht="28.5" x14ac:dyDescent="0.2">
      <c r="A9" s="20" t="s">
        <v>665</v>
      </c>
      <c r="B9" s="250" t="s">
        <v>852</v>
      </c>
      <c r="C9" s="823">
        <v>1739284</v>
      </c>
      <c r="D9" s="20" t="s">
        <v>847</v>
      </c>
      <c r="E9" s="823">
        <v>2366248</v>
      </c>
      <c r="F9" s="21" t="s">
        <v>847</v>
      </c>
      <c r="G9" s="824">
        <f>2816248-E9</f>
        <v>450000</v>
      </c>
      <c r="H9" s="22" t="s">
        <v>847</v>
      </c>
      <c r="I9" s="823">
        <v>2366248</v>
      </c>
      <c r="J9" s="24" t="s">
        <v>847</v>
      </c>
      <c r="K9" s="824">
        <f>2365339.174-I9</f>
        <v>-908.82599999988452</v>
      </c>
      <c r="L9" s="22" t="s">
        <v>847</v>
      </c>
      <c r="M9" s="25" t="s">
        <v>848</v>
      </c>
    </row>
    <row r="10" spans="1:13" ht="42.75" x14ac:dyDescent="0.2">
      <c r="A10" s="20" t="s">
        <v>665</v>
      </c>
      <c r="B10" s="250" t="s">
        <v>851</v>
      </c>
      <c r="C10" s="823">
        <v>2900</v>
      </c>
      <c r="D10" s="20" t="s">
        <v>847</v>
      </c>
      <c r="E10" s="823">
        <v>3100</v>
      </c>
      <c r="F10" s="21" t="s">
        <v>847</v>
      </c>
      <c r="G10" s="825">
        <f>1800-'Form1A - MajorChangesTable'!E10</f>
        <v>-1300</v>
      </c>
      <c r="H10" s="22" t="s">
        <v>847</v>
      </c>
      <c r="I10" s="823">
        <v>3100</v>
      </c>
      <c r="J10" s="24" t="s">
        <v>847</v>
      </c>
      <c r="K10" s="824">
        <f>2100-I10</f>
        <v>-1000</v>
      </c>
      <c r="L10" s="22" t="s">
        <v>847</v>
      </c>
      <c r="M10" s="25" t="s">
        <v>867</v>
      </c>
    </row>
    <row r="11" spans="1:13" ht="71.25" x14ac:dyDescent="0.2">
      <c r="A11" s="20" t="s">
        <v>665</v>
      </c>
      <c r="B11" s="250" t="s">
        <v>849</v>
      </c>
      <c r="C11" s="823">
        <v>2039602</v>
      </c>
      <c r="D11" s="20" t="s">
        <v>847</v>
      </c>
      <c r="E11" s="823">
        <v>2795744</v>
      </c>
      <c r="F11" s="21" t="s">
        <v>847</v>
      </c>
      <c r="G11" s="823">
        <f>2831932-E11</f>
        <v>36188</v>
      </c>
      <c r="H11" s="22" t="s">
        <v>847</v>
      </c>
      <c r="I11" s="823">
        <v>2795744</v>
      </c>
      <c r="J11" s="24" t="s">
        <v>847</v>
      </c>
      <c r="K11" s="824">
        <f>1923385-I11</f>
        <v>-872359</v>
      </c>
      <c r="L11" s="22" t="s">
        <v>847</v>
      </c>
      <c r="M11" s="25" t="s">
        <v>868</v>
      </c>
    </row>
    <row r="12" spans="1:13" ht="28.5" x14ac:dyDescent="0.2">
      <c r="A12" s="20" t="s">
        <v>665</v>
      </c>
      <c r="B12" s="250" t="s">
        <v>850</v>
      </c>
      <c r="C12" s="823">
        <v>21984</v>
      </c>
      <c r="D12" s="20" t="s">
        <v>847</v>
      </c>
      <c r="E12" s="823">
        <v>36984</v>
      </c>
      <c r="F12" s="21" t="s">
        <v>847</v>
      </c>
      <c r="G12" s="825">
        <f>21984-E12</f>
        <v>-15000</v>
      </c>
      <c r="H12" s="22" t="s">
        <v>847</v>
      </c>
      <c r="I12" s="823">
        <v>36984</v>
      </c>
      <c r="J12" s="24" t="s">
        <v>847</v>
      </c>
      <c r="K12" s="824">
        <f>22044-I12</f>
        <v>-14940</v>
      </c>
      <c r="L12" s="22" t="s">
        <v>847</v>
      </c>
      <c r="M12" s="25" t="s">
        <v>855</v>
      </c>
    </row>
    <row r="13" spans="1:13" ht="28.5" x14ac:dyDescent="0.2">
      <c r="A13" s="20" t="s">
        <v>665</v>
      </c>
      <c r="B13" s="250" t="s">
        <v>853</v>
      </c>
      <c r="C13" s="823">
        <v>9145</v>
      </c>
      <c r="D13" s="20" t="s">
        <v>847</v>
      </c>
      <c r="E13" s="823">
        <v>14700</v>
      </c>
      <c r="F13" s="21" t="s">
        <v>847</v>
      </c>
      <c r="G13" s="825">
        <f>7900-E13</f>
        <v>-6800</v>
      </c>
      <c r="H13" s="22" t="s">
        <v>847</v>
      </c>
      <c r="I13" s="823">
        <v>14700</v>
      </c>
      <c r="J13" s="24" t="s">
        <v>847</v>
      </c>
      <c r="K13" s="824">
        <f>5817-I13</f>
        <v>-8883</v>
      </c>
      <c r="L13" s="22" t="s">
        <v>847</v>
      </c>
      <c r="M13" s="25" t="s">
        <v>856</v>
      </c>
    </row>
    <row r="14" spans="1:13" ht="57" x14ac:dyDescent="0.2">
      <c r="A14" s="20" t="s">
        <v>665</v>
      </c>
      <c r="B14" s="250" t="s">
        <v>854</v>
      </c>
      <c r="C14" s="823">
        <v>1055555</v>
      </c>
      <c r="D14" s="20" t="s">
        <v>847</v>
      </c>
      <c r="E14" s="823">
        <v>1143279</v>
      </c>
      <c r="F14" s="21" t="s">
        <v>847</v>
      </c>
      <c r="G14" s="825">
        <f>1166112-E14</f>
        <v>22833</v>
      </c>
      <c r="H14" s="22" t="s">
        <v>847</v>
      </c>
      <c r="I14" s="823">
        <v>1143279</v>
      </c>
      <c r="J14" s="24" t="s">
        <v>847</v>
      </c>
      <c r="K14" s="824">
        <f>1076456-I14</f>
        <v>-66823</v>
      </c>
      <c r="L14" s="22" t="s">
        <v>847</v>
      </c>
      <c r="M14" s="25" t="s">
        <v>860</v>
      </c>
    </row>
    <row r="15" spans="1:13" ht="28.5" x14ac:dyDescent="0.2">
      <c r="A15" s="20" t="s">
        <v>665</v>
      </c>
      <c r="B15" s="250" t="s">
        <v>857</v>
      </c>
      <c r="C15" s="823">
        <v>158045</v>
      </c>
      <c r="D15" s="20" t="s">
        <v>847</v>
      </c>
      <c r="E15" s="823">
        <v>202019</v>
      </c>
      <c r="F15" s="21" t="s">
        <v>847</v>
      </c>
      <c r="G15" s="825">
        <f>200256-E15</f>
        <v>-1763</v>
      </c>
      <c r="H15" s="22" t="s">
        <v>847</v>
      </c>
      <c r="I15" s="823">
        <v>202019</v>
      </c>
      <c r="J15" s="24" t="s">
        <v>847</v>
      </c>
      <c r="K15" s="824">
        <f>179466-I15</f>
        <v>-22553</v>
      </c>
      <c r="L15" s="22" t="s">
        <v>847</v>
      </c>
      <c r="M15" s="25" t="s">
        <v>864</v>
      </c>
    </row>
    <row r="16" spans="1:13" ht="71.25" x14ac:dyDescent="0.2">
      <c r="A16" s="20" t="s">
        <v>665</v>
      </c>
      <c r="B16" s="250" t="s">
        <v>869</v>
      </c>
      <c r="C16" s="823">
        <v>2504063</v>
      </c>
      <c r="D16" s="20" t="s">
        <v>847</v>
      </c>
      <c r="E16" s="823">
        <v>4171149</v>
      </c>
      <c r="F16" s="21" t="s">
        <v>847</v>
      </c>
      <c r="G16" s="825">
        <f>4462436-E16</f>
        <v>291287</v>
      </c>
      <c r="H16" s="22" t="s">
        <v>847</v>
      </c>
      <c r="I16" s="823">
        <v>4171149</v>
      </c>
      <c r="J16" s="24" t="s">
        <v>847</v>
      </c>
      <c r="K16" s="824">
        <f>3059310-I16</f>
        <v>-1111839</v>
      </c>
      <c r="L16" s="22" t="s">
        <v>847</v>
      </c>
      <c r="M16" s="25" t="s">
        <v>859</v>
      </c>
    </row>
    <row r="17" spans="1:13" ht="42.75" customHeight="1" x14ac:dyDescent="0.2">
      <c r="A17" s="20" t="s">
        <v>665</v>
      </c>
      <c r="B17" s="250" t="s">
        <v>858</v>
      </c>
      <c r="C17" s="823">
        <v>16751</v>
      </c>
      <c r="D17" s="20" t="s">
        <v>847</v>
      </c>
      <c r="E17" s="823">
        <v>31876</v>
      </c>
      <c r="F17" s="21" t="s">
        <v>847</v>
      </c>
      <c r="G17" s="825">
        <f>29018-E17</f>
        <v>-2858</v>
      </c>
      <c r="H17" s="22" t="s">
        <v>847</v>
      </c>
      <c r="I17" s="823">
        <v>31462</v>
      </c>
      <c r="J17" s="24" t="s">
        <v>847</v>
      </c>
      <c r="K17" s="824">
        <f>17822-I17</f>
        <v>-13640</v>
      </c>
      <c r="L17" s="22" t="s">
        <v>847</v>
      </c>
      <c r="M17" s="25" t="s">
        <v>861</v>
      </c>
    </row>
    <row r="18" spans="1:13" ht="42.75" customHeight="1" x14ac:dyDescent="0.2">
      <c r="A18" s="20" t="s">
        <v>665</v>
      </c>
      <c r="B18" s="250" t="s">
        <v>862</v>
      </c>
      <c r="C18" s="823">
        <v>363099</v>
      </c>
      <c r="D18" s="20" t="s">
        <v>847</v>
      </c>
      <c r="E18" s="823">
        <v>261921</v>
      </c>
      <c r="F18" s="21" t="s">
        <v>847</v>
      </c>
      <c r="G18" s="825">
        <f>203814-E18</f>
        <v>-58107</v>
      </c>
      <c r="H18" s="22" t="s">
        <v>847</v>
      </c>
      <c r="I18" s="823">
        <v>261921</v>
      </c>
      <c r="J18" s="24" t="s">
        <v>847</v>
      </c>
      <c r="K18" s="824">
        <f>247779-I18</f>
        <v>-14142</v>
      </c>
      <c r="L18" s="22" t="s">
        <v>847</v>
      </c>
      <c r="M18" s="25" t="s">
        <v>861</v>
      </c>
    </row>
    <row r="19" spans="1:13" ht="28.5" x14ac:dyDescent="0.2">
      <c r="A19" s="20" t="s">
        <v>665</v>
      </c>
      <c r="B19" s="250" t="s">
        <v>863</v>
      </c>
      <c r="C19" s="823">
        <v>29838</v>
      </c>
      <c r="D19" s="20" t="s">
        <v>847</v>
      </c>
      <c r="E19" s="823">
        <v>0</v>
      </c>
      <c r="F19" s="21" t="s">
        <v>847</v>
      </c>
      <c r="G19" s="825">
        <v>44587.5</v>
      </c>
      <c r="H19" s="22" t="s">
        <v>847</v>
      </c>
      <c r="I19" s="823">
        <v>0</v>
      </c>
      <c r="J19" s="24" t="s">
        <v>847</v>
      </c>
      <c r="K19" s="825">
        <v>44587.5</v>
      </c>
      <c r="L19" s="22" t="s">
        <v>847</v>
      </c>
      <c r="M19" s="25" t="s">
        <v>865</v>
      </c>
    </row>
    <row r="20" spans="1:13" ht="28.5" x14ac:dyDescent="0.2">
      <c r="A20" s="20" t="s">
        <v>665</v>
      </c>
      <c r="B20" s="250" t="s">
        <v>870</v>
      </c>
      <c r="C20" s="823">
        <v>47500</v>
      </c>
      <c r="D20" s="20" t="s">
        <v>847</v>
      </c>
      <c r="E20" s="823">
        <v>34000</v>
      </c>
      <c r="F20" s="21" t="s">
        <v>847</v>
      </c>
      <c r="G20" s="825">
        <f>65000-E20</f>
        <v>31000</v>
      </c>
      <c r="H20" s="22" t="s">
        <v>847</v>
      </c>
      <c r="I20" s="823">
        <v>47500</v>
      </c>
      <c r="J20" s="24" t="s">
        <v>847</v>
      </c>
      <c r="K20" s="824">
        <f>52250-I20</f>
        <v>4750</v>
      </c>
      <c r="L20" s="22" t="s">
        <v>847</v>
      </c>
      <c r="M20" s="25" t="s">
        <v>866</v>
      </c>
    </row>
    <row r="21" spans="1:13" s="11" customFormat="1" ht="15" x14ac:dyDescent="0.2">
      <c r="F21" s="12"/>
      <c r="I21" s="13"/>
    </row>
    <row r="22" spans="1:13" s="11" customFormat="1" ht="15.75" thickBot="1" x14ac:dyDescent="0.25">
      <c r="F22" s="12"/>
      <c r="I22" s="13"/>
    </row>
    <row r="23" spans="1:13" s="11" customFormat="1" ht="16.5" thickBot="1" x14ac:dyDescent="0.3">
      <c r="A23" s="8" t="s">
        <v>17</v>
      </c>
      <c r="B23" s="28"/>
      <c r="C23" s="29"/>
      <c r="F23" s="12"/>
      <c r="I23" s="13"/>
    </row>
    <row r="24" spans="1:13" s="11" customFormat="1" ht="15.75" customHeight="1" thickBot="1" x14ac:dyDescent="0.25">
      <c r="F24" s="12"/>
      <c r="I24" s="13"/>
    </row>
    <row r="25" spans="1:13" s="19" customFormat="1" ht="75" x14ac:dyDescent="0.2">
      <c r="A25" s="14" t="s">
        <v>18</v>
      </c>
      <c r="B25" s="14" t="s">
        <v>5</v>
      </c>
      <c r="C25" s="14" t="s">
        <v>19</v>
      </c>
      <c r="D25" s="14" t="s">
        <v>7</v>
      </c>
      <c r="E25" s="14" t="s">
        <v>20</v>
      </c>
      <c r="F25" s="15" t="s">
        <v>9</v>
      </c>
      <c r="G25" s="16" t="s">
        <v>21</v>
      </c>
      <c r="H25" s="17" t="s">
        <v>22</v>
      </c>
      <c r="I25" s="18" t="s">
        <v>23</v>
      </c>
      <c r="J25" s="15" t="s">
        <v>13</v>
      </c>
      <c r="K25" s="16" t="s">
        <v>24</v>
      </c>
      <c r="L25" s="17" t="s">
        <v>15</v>
      </c>
      <c r="M25" s="14" t="s">
        <v>16</v>
      </c>
    </row>
    <row r="26" spans="1:13" ht="16.5" customHeight="1" x14ac:dyDescent="0.2">
      <c r="A26" s="20"/>
      <c r="B26" s="20"/>
      <c r="C26" s="20"/>
      <c r="D26" s="20"/>
      <c r="E26" s="20"/>
      <c r="F26" s="21"/>
      <c r="G26" s="30"/>
      <c r="H26" s="31"/>
      <c r="I26" s="32"/>
      <c r="J26" s="21"/>
      <c r="K26" s="30"/>
      <c r="L26" s="31"/>
      <c r="M26" s="25"/>
    </row>
    <row r="27" spans="1:13" ht="16.5" customHeight="1" x14ac:dyDescent="0.2">
      <c r="A27" s="20"/>
      <c r="B27" s="20"/>
      <c r="C27" s="20"/>
      <c r="D27" s="20"/>
      <c r="E27" s="20"/>
      <c r="F27" s="21"/>
      <c r="G27" s="30"/>
      <c r="H27" s="31"/>
      <c r="I27" s="32"/>
      <c r="J27" s="21"/>
      <c r="K27" s="30"/>
      <c r="L27" s="31"/>
      <c r="M27" s="25"/>
    </row>
    <row r="28" spans="1:13" ht="16.5" customHeight="1" x14ac:dyDescent="0.2">
      <c r="A28" s="20"/>
      <c r="B28" s="20"/>
      <c r="C28" s="20"/>
      <c r="D28" s="20"/>
      <c r="E28" s="20"/>
      <c r="F28" s="21"/>
      <c r="G28" s="30"/>
      <c r="H28" s="31"/>
      <c r="I28" s="32"/>
      <c r="J28" s="21"/>
      <c r="K28" s="30"/>
      <c r="L28" s="31"/>
      <c r="M28" s="25"/>
    </row>
    <row r="29" spans="1:13" ht="16.5" customHeight="1" x14ac:dyDescent="0.2">
      <c r="A29" s="20"/>
      <c r="B29" s="20"/>
      <c r="C29" s="20"/>
      <c r="D29" s="20"/>
      <c r="E29" s="20"/>
      <c r="F29" s="21"/>
      <c r="G29" s="30"/>
      <c r="H29" s="31"/>
      <c r="I29" s="32"/>
      <c r="J29" s="21"/>
      <c r="K29" s="30"/>
      <c r="L29" s="31"/>
      <c r="M29" s="25"/>
    </row>
    <row r="30" spans="1:13" ht="16.5" customHeight="1" x14ac:dyDescent="0.2">
      <c r="A30" s="20"/>
      <c r="B30" s="20"/>
      <c r="C30" s="20"/>
      <c r="D30" s="20"/>
      <c r="E30" s="20"/>
      <c r="F30" s="21"/>
      <c r="G30" s="30"/>
      <c r="H30" s="31"/>
      <c r="I30" s="32"/>
      <c r="J30" s="21"/>
      <c r="K30" s="30"/>
      <c r="L30" s="31"/>
      <c r="M30" s="25"/>
    </row>
    <row r="31" spans="1:13" ht="16.5" customHeight="1" x14ac:dyDescent="0.2">
      <c r="A31" s="20"/>
      <c r="B31" s="20"/>
      <c r="C31" s="20"/>
      <c r="D31" s="20"/>
      <c r="E31" s="20"/>
      <c r="F31" s="21"/>
      <c r="G31" s="30"/>
      <c r="H31" s="31"/>
      <c r="I31" s="32"/>
      <c r="J31" s="21"/>
      <c r="K31" s="30"/>
      <c r="L31" s="31"/>
      <c r="M31" s="25"/>
    </row>
    <row r="32" spans="1:13" ht="16.5" customHeight="1" x14ac:dyDescent="0.2">
      <c r="A32" s="20"/>
      <c r="B32" s="20"/>
      <c r="C32" s="20"/>
      <c r="D32" s="20"/>
      <c r="E32" s="20"/>
      <c r="F32" s="21"/>
      <c r="G32" s="30"/>
      <c r="H32" s="31"/>
      <c r="I32" s="32"/>
      <c r="J32" s="21"/>
      <c r="K32" s="30"/>
      <c r="L32" s="31"/>
      <c r="M32" s="25"/>
    </row>
    <row r="33" spans="1:13" ht="16.5" customHeight="1" x14ac:dyDescent="0.2">
      <c r="A33" s="20"/>
      <c r="B33" s="20"/>
      <c r="C33" s="20"/>
      <c r="D33" s="20"/>
      <c r="E33" s="20"/>
      <c r="F33" s="21"/>
      <c r="G33" s="30"/>
      <c r="H33" s="31"/>
      <c r="I33" s="32"/>
      <c r="J33" s="21"/>
      <c r="K33" s="30"/>
      <c r="L33" s="31"/>
      <c r="M33" s="25"/>
    </row>
    <row r="34" spans="1:13" ht="16.5" customHeight="1" x14ac:dyDescent="0.2">
      <c r="A34" s="20"/>
      <c r="B34" s="20"/>
      <c r="C34" s="20"/>
      <c r="D34" s="20"/>
      <c r="E34" s="20"/>
      <c r="F34" s="21"/>
      <c r="G34" s="30"/>
      <c r="H34" s="31"/>
      <c r="I34" s="32"/>
      <c r="J34" s="21"/>
      <c r="K34" s="30"/>
      <c r="L34" s="31"/>
      <c r="M34" s="25"/>
    </row>
    <row r="35" spans="1:13" ht="16.5" customHeight="1" x14ac:dyDescent="0.2">
      <c r="A35" s="20"/>
      <c r="B35" s="20"/>
      <c r="C35" s="20"/>
      <c r="D35" s="20"/>
      <c r="E35" s="20"/>
      <c r="F35" s="21"/>
      <c r="G35" s="30"/>
      <c r="H35" s="31"/>
      <c r="I35" s="32"/>
      <c r="J35" s="21"/>
      <c r="K35" s="30"/>
      <c r="L35" s="31"/>
      <c r="M35" s="25"/>
    </row>
    <row r="36" spans="1:13" ht="16.5" customHeight="1" thickBot="1" x14ac:dyDescent="0.25">
      <c r="A36" s="20"/>
      <c r="B36" s="20"/>
      <c r="C36" s="20"/>
      <c r="D36" s="20"/>
      <c r="E36" s="20"/>
      <c r="F36" s="21"/>
      <c r="G36" s="33"/>
      <c r="H36" s="34"/>
      <c r="I36" s="32"/>
      <c r="J36" s="21"/>
      <c r="K36" s="33"/>
      <c r="L36" s="34"/>
      <c r="M36" s="25"/>
    </row>
    <row r="37" spans="1:13" ht="33.75" customHeight="1" x14ac:dyDescent="0.2">
      <c r="F37" s="3"/>
      <c r="I37" s="3"/>
    </row>
    <row r="38" spans="1:13" ht="15" x14ac:dyDescent="0.25">
      <c r="A38" s="35"/>
      <c r="F38" s="3"/>
      <c r="I38" s="3"/>
    </row>
    <row r="39" spans="1:13" x14ac:dyDescent="0.2">
      <c r="F39" s="3"/>
      <c r="I39" s="3"/>
    </row>
    <row r="40" spans="1:13" x14ac:dyDescent="0.2">
      <c r="F40" s="3"/>
      <c r="I40" s="3"/>
    </row>
  </sheetData>
  <pageMargins left="0.16" right="0.16" top="0.77" bottom="0.71" header="0.5" footer="0.5"/>
  <pageSetup paperSize="17" scale="8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90" zoomScaleNormal="90" workbookViewId="0">
      <selection activeCell="I8" sqref="I8"/>
    </sheetView>
  </sheetViews>
  <sheetFormatPr defaultRowHeight="14.25" x14ac:dyDescent="0.2"/>
  <cols>
    <col min="1" max="1" width="9.7109375" style="39" customWidth="1"/>
    <col min="2" max="3" width="9.5703125" style="39" customWidth="1"/>
    <col min="4" max="4" width="11.28515625" style="39" customWidth="1"/>
    <col min="5" max="5" width="10.85546875" style="39" bestFit="1" customWidth="1"/>
    <col min="6" max="7" width="8.5703125" style="39" customWidth="1"/>
    <col min="8" max="8" width="10.5703125" style="39" customWidth="1"/>
    <col min="9" max="10" width="11.28515625" style="39" customWidth="1"/>
    <col min="11" max="11" width="13.42578125" style="677" customWidth="1"/>
    <col min="12" max="12" width="15.5703125" style="677" customWidth="1"/>
    <col min="13" max="13" width="15.140625" style="678" customWidth="1"/>
    <col min="14" max="14" width="15.28515625" style="678" customWidth="1"/>
    <col min="15" max="15" width="15" style="677" customWidth="1"/>
    <col min="16" max="16" width="13.85546875" style="39" bestFit="1" customWidth="1"/>
    <col min="17" max="16384" width="9.140625" style="39"/>
  </cols>
  <sheetData>
    <row r="1" spans="1:16" ht="18" x14ac:dyDescent="0.25">
      <c r="A1" s="36" t="s">
        <v>611</v>
      </c>
      <c r="B1" s="37"/>
      <c r="C1" s="37"/>
      <c r="E1" s="37"/>
      <c r="F1" s="37"/>
      <c r="G1" s="37"/>
      <c r="H1" s="37"/>
      <c r="I1" s="37"/>
      <c r="J1" s="37"/>
    </row>
    <row r="2" spans="1:16" ht="18" x14ac:dyDescent="0.25">
      <c r="A2" s="40" t="s">
        <v>131</v>
      </c>
    </row>
    <row r="4" spans="1:16" ht="18" x14ac:dyDescent="0.25">
      <c r="A4" s="36" t="s">
        <v>612</v>
      </c>
    </row>
    <row r="5" spans="1:16" x14ac:dyDescent="0.2">
      <c r="A5" s="39" t="s">
        <v>626</v>
      </c>
    </row>
    <row r="6" spans="1:16" ht="15.75" customHeight="1" x14ac:dyDescent="0.2">
      <c r="A6" s="39" t="s">
        <v>613</v>
      </c>
    </row>
    <row r="7" spans="1:16" ht="15" x14ac:dyDescent="0.25">
      <c r="A7" s="39" t="s">
        <v>622</v>
      </c>
      <c r="B7" s="43"/>
      <c r="C7" s="43"/>
      <c r="D7" s="43"/>
      <c r="E7" s="43"/>
      <c r="F7" s="43"/>
      <c r="G7" s="43"/>
      <c r="H7" s="43"/>
      <c r="I7" s="43"/>
      <c r="J7" s="43"/>
      <c r="K7" s="679"/>
      <c r="L7" s="679"/>
      <c r="O7" s="679"/>
    </row>
    <row r="8" spans="1:16" ht="15" thickBot="1" x14ac:dyDescent="0.25">
      <c r="B8" s="43"/>
      <c r="C8" s="43"/>
      <c r="D8" s="43"/>
      <c r="E8" s="43"/>
      <c r="F8" s="43"/>
      <c r="G8" s="43"/>
      <c r="H8" s="43"/>
      <c r="I8" s="43"/>
      <c r="J8" s="709"/>
      <c r="K8" s="679"/>
      <c r="L8" s="679"/>
      <c r="O8" s="679"/>
    </row>
    <row r="9" spans="1:16" ht="15.75" thickBot="1" x14ac:dyDescent="0.3">
      <c r="A9" s="44" t="s">
        <v>623</v>
      </c>
      <c r="B9" s="45"/>
      <c r="C9" s="45"/>
      <c r="D9" s="45"/>
      <c r="E9" s="45"/>
      <c r="F9" s="45"/>
      <c r="G9" s="45"/>
      <c r="H9" s="45"/>
      <c r="I9" s="45"/>
      <c r="K9" s="46" t="s">
        <v>31</v>
      </c>
      <c r="L9" s="45"/>
      <c r="M9" s="46"/>
      <c r="N9" s="45"/>
      <c r="O9" s="47"/>
    </row>
    <row r="10" spans="1:16" s="680" customFormat="1" ht="20.25" customHeight="1" thickBot="1" x14ac:dyDescent="0.3">
      <c r="A10" s="853" t="s">
        <v>32</v>
      </c>
      <c r="B10" s="853" t="s">
        <v>33</v>
      </c>
      <c r="C10" s="846" t="s">
        <v>34</v>
      </c>
      <c r="D10" s="846" t="s">
        <v>5</v>
      </c>
      <c r="E10" s="846" t="s">
        <v>57</v>
      </c>
      <c r="F10" s="846" t="s">
        <v>572</v>
      </c>
      <c r="G10" s="846" t="s">
        <v>614</v>
      </c>
      <c r="H10" s="846" t="s">
        <v>615</v>
      </c>
      <c r="I10" s="849" t="s">
        <v>616</v>
      </c>
      <c r="J10" s="849" t="s">
        <v>617</v>
      </c>
      <c r="K10" s="851" t="s">
        <v>618</v>
      </c>
      <c r="L10" s="844" t="s">
        <v>165</v>
      </c>
      <c r="M10" s="845"/>
      <c r="N10" s="844" t="s">
        <v>168</v>
      </c>
      <c r="O10" s="845"/>
      <c r="P10" s="47" t="s">
        <v>31</v>
      </c>
    </row>
    <row r="11" spans="1:16" s="685" customFormat="1" ht="41.25" customHeight="1" thickBot="1" x14ac:dyDescent="0.25">
      <c r="A11" s="854"/>
      <c r="B11" s="854"/>
      <c r="C11" s="847"/>
      <c r="D11" s="847" t="s">
        <v>5</v>
      </c>
      <c r="E11" s="847"/>
      <c r="F11" s="847" t="s">
        <v>57</v>
      </c>
      <c r="G11" s="847"/>
      <c r="H11" s="848"/>
      <c r="I11" s="850"/>
      <c r="J11" s="850"/>
      <c r="K11" s="852"/>
      <c r="L11" s="681" t="s">
        <v>619</v>
      </c>
      <c r="M11" s="682" t="s">
        <v>620</v>
      </c>
      <c r="N11" s="681" t="s">
        <v>619</v>
      </c>
      <c r="O11" s="683" t="s">
        <v>620</v>
      </c>
      <c r="P11" s="684" t="s">
        <v>621</v>
      </c>
    </row>
    <row r="12" spans="1:16" x14ac:dyDescent="0.2">
      <c r="A12" s="686"/>
      <c r="B12" s="686"/>
      <c r="C12" s="687"/>
      <c r="D12" s="687"/>
      <c r="E12" s="687"/>
      <c r="F12" s="687"/>
      <c r="G12" s="687"/>
      <c r="H12" s="688"/>
      <c r="I12" s="688"/>
      <c r="J12" s="688"/>
      <c r="K12" s="688"/>
      <c r="L12" s="689"/>
      <c r="M12" s="690">
        <v>0</v>
      </c>
      <c r="N12" s="689"/>
      <c r="O12" s="691">
        <v>0</v>
      </c>
      <c r="P12" s="692"/>
    </row>
    <row r="13" spans="1:16" x14ac:dyDescent="0.2">
      <c r="A13" s="686"/>
      <c r="B13" s="686"/>
      <c r="C13" s="687"/>
      <c r="D13" s="687"/>
      <c r="E13" s="687"/>
      <c r="F13" s="687"/>
      <c r="G13" s="687"/>
      <c r="H13" s="688"/>
      <c r="I13" s="688"/>
      <c r="J13" s="688"/>
      <c r="K13" s="688"/>
      <c r="L13" s="689"/>
      <c r="M13" s="690">
        <v>0</v>
      </c>
      <c r="N13" s="689"/>
      <c r="O13" s="691">
        <v>0</v>
      </c>
      <c r="P13" s="692"/>
    </row>
    <row r="14" spans="1:16" x14ac:dyDescent="0.2">
      <c r="A14" s="693"/>
      <c r="B14" s="693"/>
      <c r="C14" s="694"/>
      <c r="D14" s="694"/>
      <c r="E14" s="694"/>
      <c r="F14" s="694"/>
      <c r="G14" s="694"/>
      <c r="H14" s="695"/>
      <c r="I14" s="695"/>
      <c r="J14" s="695"/>
      <c r="K14" s="695"/>
      <c r="L14" s="696"/>
      <c r="M14" s="690">
        <v>0</v>
      </c>
      <c r="N14" s="696"/>
      <c r="O14" s="691">
        <v>0</v>
      </c>
      <c r="P14" s="692"/>
    </row>
    <row r="15" spans="1:16" x14ac:dyDescent="0.2">
      <c r="A15" s="686"/>
      <c r="B15" s="686"/>
      <c r="C15" s="687"/>
      <c r="D15" s="687"/>
      <c r="E15" s="687"/>
      <c r="F15" s="687"/>
      <c r="G15" s="687"/>
      <c r="H15" s="688"/>
      <c r="I15" s="688"/>
      <c r="J15" s="688"/>
      <c r="K15" s="688"/>
      <c r="L15" s="689"/>
      <c r="M15" s="690">
        <v>0</v>
      </c>
      <c r="N15" s="689"/>
      <c r="O15" s="691">
        <v>0</v>
      </c>
      <c r="P15" s="692"/>
    </row>
    <row r="16" spans="1:16" ht="15" thickBot="1" x14ac:dyDescent="0.25">
      <c r="A16" s="697"/>
      <c r="B16" s="697"/>
      <c r="C16" s="698"/>
      <c r="D16" s="698"/>
      <c r="E16" s="698"/>
      <c r="F16" s="698"/>
      <c r="G16" s="698"/>
      <c r="H16" s="699"/>
      <c r="I16" s="699"/>
      <c r="J16" s="699"/>
      <c r="K16" s="699"/>
      <c r="L16" s="689"/>
      <c r="M16" s="690">
        <v>0</v>
      </c>
      <c r="N16" s="689"/>
      <c r="O16" s="691">
        <v>0</v>
      </c>
      <c r="P16" s="692"/>
    </row>
    <row r="17" spans="1:16" s="37" customFormat="1" ht="19.5" customHeight="1" thickBot="1" x14ac:dyDescent="0.3">
      <c r="A17" s="700" t="s">
        <v>164</v>
      </c>
      <c r="B17" s="701"/>
      <c r="C17" s="702"/>
      <c r="D17" s="702"/>
      <c r="E17" s="702"/>
      <c r="F17" s="702"/>
      <c r="G17" s="702"/>
      <c r="H17" s="702"/>
      <c r="I17" s="702"/>
      <c r="J17" s="702"/>
      <c r="K17" s="703"/>
      <c r="L17" s="704">
        <f t="shared" ref="L17:O17" si="0">SUM(L12:L16)</f>
        <v>0</v>
      </c>
      <c r="M17" s="705">
        <f t="shared" si="0"/>
        <v>0</v>
      </c>
      <c r="N17" s="706">
        <f t="shared" si="0"/>
        <v>0</v>
      </c>
      <c r="O17" s="707">
        <f t="shared" si="0"/>
        <v>0</v>
      </c>
      <c r="P17" s="708"/>
    </row>
  </sheetData>
  <mergeCells count="13">
    <mergeCell ref="F10:F11"/>
    <mergeCell ref="A10:A11"/>
    <mergeCell ref="B10:B11"/>
    <mergeCell ref="C10:C11"/>
    <mergeCell ref="D10:D11"/>
    <mergeCell ref="E10:E11"/>
    <mergeCell ref="N10:O10"/>
    <mergeCell ref="G10:G11"/>
    <mergeCell ref="H10:H11"/>
    <mergeCell ref="I10:I11"/>
    <mergeCell ref="J10:J11"/>
    <mergeCell ref="K10:K11"/>
    <mergeCell ref="L10:M10"/>
  </mergeCells>
  <pageMargins left="0.16" right="0.16" top="0.67" bottom="0.6" header="0.28000000000000003" footer="0.37"/>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90" zoomScaleNormal="90" workbookViewId="0">
      <selection activeCell="B8" sqref="B8"/>
    </sheetView>
  </sheetViews>
  <sheetFormatPr defaultRowHeight="12.75" x14ac:dyDescent="0.2"/>
  <cols>
    <col min="1" max="1" width="71.85546875" style="218" customWidth="1"/>
    <col min="2" max="2" width="34.28515625" style="218" customWidth="1"/>
    <col min="3" max="3" width="35.28515625" style="218" customWidth="1"/>
    <col min="4" max="4" width="18.140625" style="218" customWidth="1"/>
    <col min="5" max="5" width="28.7109375" style="218" customWidth="1"/>
    <col min="6" max="16384" width="9.140625" style="218"/>
  </cols>
  <sheetData>
    <row r="1" spans="1:5" ht="22.5" customHeight="1" x14ac:dyDescent="0.25">
      <c r="A1" s="263" t="s">
        <v>160</v>
      </c>
      <c r="B1" s="264"/>
      <c r="C1" s="264"/>
      <c r="D1" s="264"/>
    </row>
    <row r="2" spans="1:5" ht="23.25" customHeight="1" x14ac:dyDescent="0.2">
      <c r="A2" s="11" t="s">
        <v>1</v>
      </c>
    </row>
    <row r="3" spans="1:5" ht="23.25" customHeight="1" thickBot="1" x14ac:dyDescent="0.25">
      <c r="A3" s="11"/>
    </row>
    <row r="4" spans="1:5" ht="23.25" customHeight="1" thickBot="1" x14ac:dyDescent="0.25">
      <c r="A4" s="268" t="s">
        <v>171</v>
      </c>
      <c r="B4" s="269" t="s">
        <v>173</v>
      </c>
    </row>
    <row r="5" spans="1:5" s="11" customFormat="1" ht="36" customHeight="1" x14ac:dyDescent="0.2">
      <c r="A5" s="274" t="s">
        <v>174</v>
      </c>
      <c r="B5" s="717" t="s">
        <v>730</v>
      </c>
    </row>
    <row r="6" spans="1:5" s="11" customFormat="1" ht="22.5" customHeight="1" x14ac:dyDescent="0.2">
      <c r="A6" s="286"/>
      <c r="B6" s="286"/>
    </row>
    <row r="7" spans="1:5" s="11" customFormat="1" ht="22.5" customHeight="1" thickBot="1" x14ac:dyDescent="0.25">
      <c r="A7" s="265" t="s">
        <v>165</v>
      </c>
      <c r="B7" s="266"/>
      <c r="C7" s="266"/>
      <c r="D7" s="267"/>
      <c r="E7" s="266"/>
    </row>
    <row r="8" spans="1:5" s="273" customFormat="1" ht="66" customHeight="1" thickBot="1" x14ac:dyDescent="0.3">
      <c r="A8" s="268" t="s">
        <v>161</v>
      </c>
      <c r="B8" s="269" t="s">
        <v>167</v>
      </c>
      <c r="C8" s="270" t="s">
        <v>166</v>
      </c>
      <c r="D8" s="271" t="s">
        <v>162</v>
      </c>
      <c r="E8" s="272" t="s">
        <v>163</v>
      </c>
    </row>
    <row r="9" spans="1:5" s="3" customFormat="1" ht="32.1" customHeight="1" x14ac:dyDescent="0.2">
      <c r="A9" s="274"/>
      <c r="B9" s="275"/>
      <c r="C9" s="261"/>
      <c r="D9" s="261"/>
      <c r="E9" s="262"/>
    </row>
    <row r="10" spans="1:5" s="3" customFormat="1" ht="32.1" customHeight="1" x14ac:dyDescent="0.2">
      <c r="A10" s="276"/>
      <c r="B10" s="23"/>
      <c r="C10" s="250"/>
      <c r="D10" s="250"/>
      <c r="E10" s="22"/>
    </row>
    <row r="11" spans="1:5" s="3" customFormat="1" ht="32.1" customHeight="1" x14ac:dyDescent="0.2">
      <c r="A11" s="276"/>
      <c r="B11" s="23"/>
      <c r="C11" s="250"/>
      <c r="D11" s="250"/>
      <c r="E11" s="22"/>
    </row>
    <row r="12" spans="1:5" s="3" customFormat="1" ht="32.1" customHeight="1" x14ac:dyDescent="0.2">
      <c r="A12" s="276"/>
      <c r="B12" s="23"/>
      <c r="C12" s="250"/>
      <c r="D12" s="250"/>
      <c r="E12" s="22"/>
    </row>
    <row r="13" spans="1:5" s="3" customFormat="1" ht="32.1" customHeight="1" thickBot="1" x14ac:dyDescent="0.25">
      <c r="A13" s="277"/>
      <c r="B13" s="27"/>
      <c r="C13" s="278"/>
      <c r="D13" s="278"/>
      <c r="E13" s="26"/>
    </row>
    <row r="14" spans="1:5" s="204" customFormat="1" ht="32.1" customHeight="1" thickBot="1" x14ac:dyDescent="0.3">
      <c r="A14" s="279" t="s">
        <v>164</v>
      </c>
      <c r="B14" s="280">
        <f>SUM(B9:B13)</f>
        <v>0</v>
      </c>
      <c r="C14" s="281">
        <f>SUM(C9:C13)</f>
        <v>0</v>
      </c>
      <c r="D14" s="281"/>
      <c r="E14" s="282"/>
    </row>
    <row r="15" spans="1:5" s="204" customFormat="1" ht="38.25" customHeight="1" x14ac:dyDescent="0.25">
      <c r="A15" s="279"/>
      <c r="B15" s="283"/>
      <c r="C15" s="283"/>
      <c r="D15" s="283"/>
      <c r="E15" s="284"/>
    </row>
    <row r="16" spans="1:5" s="285" customFormat="1" ht="22.5" customHeight="1" thickBot="1" x14ac:dyDescent="0.25">
      <c r="A16" s="285" t="s">
        <v>168</v>
      </c>
    </row>
    <row r="17" spans="1:14" s="273" customFormat="1" ht="66" customHeight="1" thickBot="1" x14ac:dyDescent="0.3">
      <c r="A17" s="268" t="s">
        <v>161</v>
      </c>
      <c r="B17" s="269" t="s">
        <v>169</v>
      </c>
      <c r="C17" s="270" t="s">
        <v>170</v>
      </c>
      <c r="D17" s="271" t="s">
        <v>162</v>
      </c>
      <c r="E17" s="272" t="s">
        <v>163</v>
      </c>
    </row>
    <row r="18" spans="1:14" s="3" customFormat="1" ht="32.1" customHeight="1" x14ac:dyDescent="0.2">
      <c r="A18" s="274"/>
      <c r="B18" s="275"/>
      <c r="C18" s="261"/>
      <c r="D18" s="261"/>
      <c r="E18" s="262"/>
    </row>
    <row r="19" spans="1:14" s="3" customFormat="1" ht="32.1" customHeight="1" x14ac:dyDescent="0.2">
      <c r="A19" s="276"/>
      <c r="B19" s="23"/>
      <c r="C19" s="250"/>
      <c r="D19" s="250"/>
      <c r="E19" s="22"/>
    </row>
    <row r="20" spans="1:14" s="3" customFormat="1" ht="32.1" customHeight="1" x14ac:dyDescent="0.2">
      <c r="A20" s="276"/>
      <c r="B20" s="23"/>
      <c r="C20" s="250"/>
      <c r="D20" s="250"/>
      <c r="E20" s="22"/>
    </row>
    <row r="21" spans="1:14" s="3" customFormat="1" ht="32.1" customHeight="1" x14ac:dyDescent="0.2">
      <c r="A21" s="276"/>
      <c r="B21" s="23"/>
      <c r="C21" s="250"/>
      <c r="D21" s="250"/>
      <c r="E21" s="22"/>
    </row>
    <row r="22" spans="1:14" s="3" customFormat="1" ht="32.1" customHeight="1" thickBot="1" x14ac:dyDescent="0.25">
      <c r="A22" s="277"/>
      <c r="B22" s="27"/>
      <c r="C22" s="278"/>
      <c r="D22" s="278"/>
      <c r="E22" s="26"/>
    </row>
    <row r="23" spans="1:14" s="204" customFormat="1" ht="32.1" customHeight="1" thickBot="1" x14ac:dyDescent="0.3">
      <c r="A23" s="279" t="s">
        <v>164</v>
      </c>
      <c r="B23" s="280">
        <f>SUM(B18:B22)</f>
        <v>0</v>
      </c>
      <c r="C23" s="281">
        <f>SUM(C18:C22)</f>
        <v>0</v>
      </c>
      <c r="D23" s="281"/>
      <c r="E23" s="282"/>
    </row>
    <row r="24" spans="1:14" s="3" customFormat="1" ht="14.25" x14ac:dyDescent="0.2"/>
    <row r="25" spans="1:14" s="3" customFormat="1" ht="14.25" x14ac:dyDescent="0.2">
      <c r="A25" s="840" t="s">
        <v>80</v>
      </c>
      <c r="B25" s="840"/>
      <c r="C25" s="840"/>
      <c r="D25" s="840"/>
      <c r="E25" s="840"/>
      <c r="F25" s="840"/>
      <c r="G25" s="840"/>
      <c r="H25" s="840"/>
      <c r="I25" s="840"/>
      <c r="J25" s="840"/>
      <c r="K25" s="840"/>
      <c r="L25" s="840"/>
      <c r="M25" s="840"/>
      <c r="N25" s="840"/>
    </row>
    <row r="26" spans="1:14" s="3" customFormat="1" ht="14.25" x14ac:dyDescent="0.2">
      <c r="A26" s="3" t="s">
        <v>172</v>
      </c>
    </row>
    <row r="27" spans="1:14" s="3" customFormat="1" ht="14.25" x14ac:dyDescent="0.2"/>
    <row r="28" spans="1:14" s="3" customFormat="1" ht="14.25" x14ac:dyDescent="0.2"/>
    <row r="29" spans="1:14" ht="14.25" x14ac:dyDescent="0.2">
      <c r="A29" s="3"/>
      <c r="B29" s="3"/>
      <c r="C29" s="3"/>
      <c r="D29" s="3"/>
      <c r="E29" s="3"/>
      <c r="F29" s="3"/>
      <c r="G29" s="3"/>
      <c r="H29" s="3"/>
      <c r="I29" s="3"/>
      <c r="J29" s="3"/>
      <c r="K29" s="3"/>
      <c r="L29" s="3"/>
      <c r="M29" s="3"/>
      <c r="N29" s="3"/>
    </row>
  </sheetData>
  <mergeCells count="1">
    <mergeCell ref="A25:N25"/>
  </mergeCells>
  <printOptions horizontalCentered="1"/>
  <pageMargins left="0.19" right="0.24" top="0.55000000000000004" bottom="0.56000000000000005" header="0.35" footer="0.2"/>
  <pageSetup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E7" sqref="E7"/>
    </sheetView>
  </sheetViews>
  <sheetFormatPr defaultRowHeight="20.25" x14ac:dyDescent="0.3"/>
  <cols>
    <col min="1" max="16384" width="9.140625" style="236"/>
  </cols>
  <sheetData>
    <row r="1" spans="1:2" x14ac:dyDescent="0.3">
      <c r="A1" s="235" t="s">
        <v>548</v>
      </c>
    </row>
    <row r="2" spans="1:2" x14ac:dyDescent="0.3">
      <c r="A2" s="235"/>
    </row>
    <row r="4" spans="1:2" x14ac:dyDescent="0.3">
      <c r="A4" s="236" t="s">
        <v>560</v>
      </c>
    </row>
    <row r="5" spans="1:2" x14ac:dyDescent="0.3">
      <c r="B5" s="287"/>
    </row>
  </sheetData>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topLeftCell="B28" zoomScale="90" zoomScaleNormal="90" workbookViewId="0">
      <selection activeCell="X38" sqref="X38"/>
    </sheetView>
  </sheetViews>
  <sheetFormatPr defaultRowHeight="12.75" x14ac:dyDescent="0.2"/>
  <cols>
    <col min="1" max="1" width="33.85546875" style="153" customWidth="1"/>
    <col min="2" max="2" width="9.7109375" style="153" customWidth="1"/>
    <col min="3" max="3" width="9.5703125" style="153" customWidth="1"/>
    <col min="4" max="4" width="25.140625" style="153" customWidth="1"/>
    <col min="5" max="5" width="6.42578125" style="153" customWidth="1"/>
    <col min="6" max="6" width="9.7109375" style="153" customWidth="1"/>
    <col min="7" max="7" width="10.5703125" style="153" customWidth="1"/>
    <col min="8" max="8" width="13.28515625" style="153" customWidth="1"/>
    <col min="9" max="9" width="6.28515625" style="153" customWidth="1"/>
    <col min="10" max="11" width="12" style="153" customWidth="1"/>
    <col min="12" max="12" width="9.140625" style="153" customWidth="1"/>
    <col min="13" max="13" width="15.28515625" style="293" bestFit="1" customWidth="1"/>
    <col min="14" max="14" width="6" style="294" customWidth="1"/>
    <col min="15" max="15" width="9.28515625" style="293" customWidth="1"/>
    <col min="16" max="16" width="9" style="293" customWidth="1"/>
    <col min="17" max="17" width="16.42578125" style="293" bestFit="1" customWidth="1"/>
    <col min="18" max="18" width="6" style="294" customWidth="1"/>
    <col min="19" max="19" width="9.28515625" style="293" customWidth="1"/>
    <col min="20" max="20" width="9.7109375" style="293" customWidth="1"/>
    <col min="21" max="21" width="16.42578125" style="293" bestFit="1" customWidth="1"/>
    <col min="22" max="22" width="9.85546875" style="293" customWidth="1"/>
    <col min="23" max="23" width="9.140625" style="293" customWidth="1"/>
    <col min="24" max="24" width="16.5703125" style="153" customWidth="1"/>
    <col min="25" max="16384" width="9.140625" style="153"/>
  </cols>
  <sheetData>
    <row r="1" spans="1:24" s="289" customFormat="1" ht="19.5" customHeight="1" x14ac:dyDescent="0.25">
      <c r="A1" s="288" t="s">
        <v>752</v>
      </c>
      <c r="C1" s="288"/>
      <c r="M1" s="290"/>
      <c r="N1" s="291"/>
      <c r="O1" s="290"/>
      <c r="P1" s="290"/>
      <c r="Q1" s="290"/>
      <c r="R1" s="291"/>
      <c r="S1" s="290"/>
      <c r="T1" s="290"/>
      <c r="U1" s="290"/>
      <c r="V1" s="290"/>
      <c r="W1" s="290"/>
    </row>
    <row r="2" spans="1:24" ht="19.5" customHeight="1" x14ac:dyDescent="0.2">
      <c r="A2" s="292" t="s">
        <v>131</v>
      </c>
    </row>
    <row r="3" spans="1:24" ht="13.5" thickBot="1" x14ac:dyDescent="0.25"/>
    <row r="4" spans="1:24" s="297" customFormat="1" ht="57" customHeight="1" thickBot="1" x14ac:dyDescent="0.25">
      <c r="A4" s="295" t="s">
        <v>197</v>
      </c>
      <c r="B4" s="296"/>
      <c r="C4" s="296"/>
      <c r="D4" s="296"/>
      <c r="E4" s="296"/>
      <c r="F4" s="296"/>
      <c r="G4" s="296"/>
      <c r="H4" s="296"/>
      <c r="I4" s="296"/>
      <c r="J4" s="296"/>
      <c r="K4" s="296"/>
      <c r="L4" s="296"/>
      <c r="M4" s="882" t="s">
        <v>218</v>
      </c>
      <c r="N4" s="883"/>
      <c r="O4" s="883"/>
      <c r="P4" s="884"/>
      <c r="Q4" s="882" t="s">
        <v>198</v>
      </c>
      <c r="R4" s="883"/>
      <c r="S4" s="883"/>
      <c r="T4" s="884"/>
      <c r="U4" s="885" t="s">
        <v>175</v>
      </c>
      <c r="V4" s="886"/>
      <c r="W4" s="886"/>
      <c r="X4" s="887"/>
    </row>
    <row r="5" spans="1:24" s="298" customFormat="1" ht="27" customHeight="1" x14ac:dyDescent="0.2">
      <c r="A5" s="871" t="s">
        <v>176</v>
      </c>
      <c r="B5" s="873" t="s">
        <v>177</v>
      </c>
      <c r="C5" s="873" t="s">
        <v>178</v>
      </c>
      <c r="D5" s="873" t="s">
        <v>179</v>
      </c>
      <c r="E5" s="875" t="s">
        <v>180</v>
      </c>
      <c r="F5" s="873" t="s">
        <v>4</v>
      </c>
      <c r="G5" s="873" t="s">
        <v>47</v>
      </c>
      <c r="H5" s="873" t="s">
        <v>181</v>
      </c>
      <c r="I5" s="873" t="s">
        <v>182</v>
      </c>
      <c r="J5" s="877" t="s">
        <v>183</v>
      </c>
      <c r="K5" s="878"/>
      <c r="L5" s="879"/>
      <c r="M5" s="888" t="s">
        <v>184</v>
      </c>
      <c r="N5" s="869" t="s">
        <v>185</v>
      </c>
      <c r="O5" s="861" t="s">
        <v>186</v>
      </c>
      <c r="P5" s="863" t="s">
        <v>187</v>
      </c>
      <c r="Q5" s="865" t="s">
        <v>188</v>
      </c>
      <c r="R5" s="861" t="s">
        <v>185</v>
      </c>
      <c r="S5" s="867" t="s">
        <v>189</v>
      </c>
      <c r="T5" s="863" t="s">
        <v>187</v>
      </c>
      <c r="U5" s="855" t="s">
        <v>190</v>
      </c>
      <c r="V5" s="857" t="s">
        <v>191</v>
      </c>
      <c r="W5" s="857" t="s">
        <v>192</v>
      </c>
      <c r="X5" s="859" t="s">
        <v>193</v>
      </c>
    </row>
    <row r="6" spans="1:24" s="302" customFormat="1" ht="27" customHeight="1" thickBot="1" x14ac:dyDescent="0.25">
      <c r="A6" s="872"/>
      <c r="B6" s="874"/>
      <c r="C6" s="874"/>
      <c r="D6" s="874"/>
      <c r="E6" s="876"/>
      <c r="F6" s="874"/>
      <c r="G6" s="874"/>
      <c r="H6" s="874"/>
      <c r="I6" s="874"/>
      <c r="J6" s="299" t="s">
        <v>194</v>
      </c>
      <c r="K6" s="300" t="s">
        <v>195</v>
      </c>
      <c r="L6" s="301" t="s">
        <v>196</v>
      </c>
      <c r="M6" s="881"/>
      <c r="N6" s="870"/>
      <c r="O6" s="862"/>
      <c r="P6" s="864"/>
      <c r="Q6" s="866"/>
      <c r="R6" s="862"/>
      <c r="S6" s="868"/>
      <c r="T6" s="864"/>
      <c r="U6" s="856"/>
      <c r="V6" s="858"/>
      <c r="W6" s="858"/>
      <c r="X6" s="860"/>
    </row>
    <row r="7" spans="1:24" s="312" customFormat="1" x14ac:dyDescent="0.2">
      <c r="A7" s="756" t="s">
        <v>816</v>
      </c>
      <c r="B7" s="752"/>
      <c r="C7" s="754" t="s">
        <v>453</v>
      </c>
      <c r="D7" s="758" t="s">
        <v>817</v>
      </c>
      <c r="E7" s="759" t="s">
        <v>664</v>
      </c>
      <c r="F7" s="752" t="s">
        <v>665</v>
      </c>
      <c r="G7" s="752">
        <v>2710</v>
      </c>
      <c r="H7" s="303"/>
      <c r="I7" s="303"/>
      <c r="J7" s="303"/>
      <c r="K7" s="303"/>
      <c r="L7" s="303"/>
      <c r="M7" s="304">
        <v>415000</v>
      </c>
      <c r="N7" s="305"/>
      <c r="O7" s="306">
        <f t="shared" ref="O7:O25" si="0">M7*N7</f>
        <v>0</v>
      </c>
      <c r="P7" s="307"/>
      <c r="Q7" s="791">
        <v>650290</v>
      </c>
      <c r="R7" s="305"/>
      <c r="S7" s="306">
        <f t="shared" ref="S7:S25" si="1">Q7*R7</f>
        <v>0</v>
      </c>
      <c r="T7" s="307"/>
      <c r="U7" s="308">
        <f t="shared" ref="U7:U25" si="2">Q7-M7</f>
        <v>235290</v>
      </c>
      <c r="V7" s="309">
        <f t="shared" ref="V7:W25" si="3">S7-O7</f>
        <v>0</v>
      </c>
      <c r="W7" s="310">
        <f t="shared" si="3"/>
        <v>0</v>
      </c>
      <c r="X7" s="311"/>
    </row>
    <row r="8" spans="1:24" ht="25.5" x14ac:dyDescent="0.2">
      <c r="A8" s="753" t="s">
        <v>775</v>
      </c>
      <c r="B8" s="754"/>
      <c r="C8" s="754" t="s">
        <v>453</v>
      </c>
      <c r="D8" s="758" t="s">
        <v>818</v>
      </c>
      <c r="E8" s="755" t="s">
        <v>664</v>
      </c>
      <c r="F8" s="754" t="s">
        <v>665</v>
      </c>
      <c r="G8" s="754">
        <v>2799</v>
      </c>
      <c r="H8" s="314"/>
      <c r="I8" s="314"/>
      <c r="J8" s="314"/>
      <c r="K8" s="314"/>
      <c r="L8" s="314"/>
      <c r="M8" s="316">
        <v>386300</v>
      </c>
      <c r="N8" s="317"/>
      <c r="O8" s="318">
        <f t="shared" si="0"/>
        <v>0</v>
      </c>
      <c r="P8" s="319"/>
      <c r="Q8" s="316">
        <v>883700</v>
      </c>
      <c r="R8" s="317"/>
      <c r="S8" s="318">
        <f t="shared" si="1"/>
        <v>0</v>
      </c>
      <c r="T8" s="319"/>
      <c r="U8" s="320">
        <f t="shared" si="2"/>
        <v>497400</v>
      </c>
      <c r="V8" s="321">
        <f t="shared" si="3"/>
        <v>0</v>
      </c>
      <c r="W8" s="322">
        <f t="shared" si="3"/>
        <v>0</v>
      </c>
      <c r="X8" s="323"/>
    </row>
    <row r="9" spans="1:24" x14ac:dyDescent="0.2">
      <c r="A9" s="753" t="s">
        <v>776</v>
      </c>
      <c r="B9" s="754"/>
      <c r="C9" s="754" t="s">
        <v>453</v>
      </c>
      <c r="D9" s="758" t="s">
        <v>819</v>
      </c>
      <c r="E9" s="755" t="s">
        <v>664</v>
      </c>
      <c r="F9" s="754" t="s">
        <v>665</v>
      </c>
      <c r="G9" s="754">
        <v>2799</v>
      </c>
      <c r="H9" s="314"/>
      <c r="I9" s="314"/>
      <c r="J9" s="314"/>
      <c r="K9" s="314"/>
      <c r="L9" s="314"/>
      <c r="M9" s="316">
        <v>126500</v>
      </c>
      <c r="N9" s="317"/>
      <c r="O9" s="318">
        <f t="shared" si="0"/>
        <v>0</v>
      </c>
      <c r="P9" s="319"/>
      <c r="Q9" s="316">
        <v>170000</v>
      </c>
      <c r="R9" s="317"/>
      <c r="S9" s="318">
        <f t="shared" si="1"/>
        <v>0</v>
      </c>
      <c r="T9" s="319"/>
      <c r="U9" s="320">
        <f t="shared" si="2"/>
        <v>43500</v>
      </c>
      <c r="V9" s="321">
        <f t="shared" si="3"/>
        <v>0</v>
      </c>
      <c r="W9" s="322">
        <f t="shared" si="3"/>
        <v>0</v>
      </c>
      <c r="X9" s="323"/>
    </row>
    <row r="10" spans="1:24" x14ac:dyDescent="0.2">
      <c r="A10" s="753" t="s">
        <v>846</v>
      </c>
      <c r="B10" s="754"/>
      <c r="C10" s="754" t="s">
        <v>453</v>
      </c>
      <c r="D10" s="758" t="s">
        <v>820</v>
      </c>
      <c r="E10" s="755" t="s">
        <v>664</v>
      </c>
      <c r="F10" s="754" t="s">
        <v>665</v>
      </c>
      <c r="G10" s="754">
        <v>2799</v>
      </c>
      <c r="H10" s="314"/>
      <c r="I10" s="314"/>
      <c r="J10" s="314"/>
      <c r="K10" s="314"/>
      <c r="L10" s="314"/>
      <c r="M10" s="316">
        <v>320000</v>
      </c>
      <c r="N10" s="317"/>
      <c r="O10" s="318">
        <f t="shared" si="0"/>
        <v>0</v>
      </c>
      <c r="P10" s="319"/>
      <c r="Q10" s="316">
        <v>223229</v>
      </c>
      <c r="R10" s="317"/>
      <c r="S10" s="318">
        <f t="shared" si="1"/>
        <v>0</v>
      </c>
      <c r="T10" s="319"/>
      <c r="U10" s="320">
        <f t="shared" si="2"/>
        <v>-96771</v>
      </c>
      <c r="V10" s="321">
        <f t="shared" si="3"/>
        <v>0</v>
      </c>
      <c r="W10" s="322">
        <f t="shared" si="3"/>
        <v>0</v>
      </c>
      <c r="X10" s="323"/>
    </row>
    <row r="11" spans="1:24" x14ac:dyDescent="0.2">
      <c r="A11" s="790" t="s">
        <v>844</v>
      </c>
      <c r="B11" s="754"/>
      <c r="C11" s="754" t="s">
        <v>453</v>
      </c>
      <c r="D11" s="761" t="s">
        <v>821</v>
      </c>
      <c r="E11" s="755" t="s">
        <v>664</v>
      </c>
      <c r="F11" s="754" t="s">
        <v>665</v>
      </c>
      <c r="G11" s="754">
        <v>2799</v>
      </c>
      <c r="H11" s="314"/>
      <c r="I11" s="314"/>
      <c r="J11" s="314"/>
      <c r="K11" s="314"/>
      <c r="L11" s="314"/>
      <c r="M11" s="316">
        <v>1200</v>
      </c>
      <c r="N11" s="317"/>
      <c r="O11" s="318">
        <f t="shared" si="0"/>
        <v>0</v>
      </c>
      <c r="P11" s="319"/>
      <c r="Q11" s="316">
        <v>2400</v>
      </c>
      <c r="R11" s="317"/>
      <c r="S11" s="318">
        <f t="shared" si="1"/>
        <v>0</v>
      </c>
      <c r="T11" s="319"/>
      <c r="U11" s="320">
        <f t="shared" si="2"/>
        <v>1200</v>
      </c>
      <c r="V11" s="321">
        <f t="shared" si="3"/>
        <v>0</v>
      </c>
      <c r="W11" s="322">
        <f t="shared" si="3"/>
        <v>0</v>
      </c>
      <c r="X11" s="323"/>
    </row>
    <row r="12" spans="1:24" ht="38.25" x14ac:dyDescent="0.2">
      <c r="A12" s="790" t="s">
        <v>777</v>
      </c>
      <c r="B12" s="754"/>
      <c r="C12" s="754" t="s">
        <v>453</v>
      </c>
      <c r="D12" s="761" t="s">
        <v>822</v>
      </c>
      <c r="E12" s="755" t="s">
        <v>664</v>
      </c>
      <c r="F12" s="754" t="s">
        <v>665</v>
      </c>
      <c r="G12" s="754">
        <v>2799</v>
      </c>
      <c r="H12" s="314"/>
      <c r="I12" s="314"/>
      <c r="J12" s="314"/>
      <c r="K12" s="314"/>
      <c r="L12" s="314"/>
      <c r="M12" s="316">
        <v>90</v>
      </c>
      <c r="N12" s="317"/>
      <c r="O12" s="318">
        <f t="shared" si="0"/>
        <v>0</v>
      </c>
      <c r="P12" s="319"/>
      <c r="Q12" s="316">
        <v>180</v>
      </c>
      <c r="R12" s="317"/>
      <c r="S12" s="318">
        <f t="shared" si="1"/>
        <v>0</v>
      </c>
      <c r="T12" s="319"/>
      <c r="U12" s="320">
        <f t="shared" si="2"/>
        <v>90</v>
      </c>
      <c r="V12" s="321">
        <f t="shared" si="3"/>
        <v>0</v>
      </c>
      <c r="W12" s="322">
        <f t="shared" si="3"/>
        <v>0</v>
      </c>
      <c r="X12" s="323"/>
    </row>
    <row r="13" spans="1:24" s="197" customFormat="1" ht="25.5" x14ac:dyDescent="0.2">
      <c r="A13" s="753" t="s">
        <v>778</v>
      </c>
      <c r="B13" s="754"/>
      <c r="C13" s="754" t="s">
        <v>453</v>
      </c>
      <c r="D13" s="760" t="s">
        <v>823</v>
      </c>
      <c r="E13" s="755" t="s">
        <v>664</v>
      </c>
      <c r="F13" s="754" t="s">
        <v>665</v>
      </c>
      <c r="G13" s="754">
        <v>2799</v>
      </c>
      <c r="H13" s="314"/>
      <c r="I13" s="314"/>
      <c r="J13" s="314"/>
      <c r="K13" s="314"/>
      <c r="L13" s="314"/>
      <c r="M13" s="316">
        <v>1000</v>
      </c>
      <c r="N13" s="317"/>
      <c r="O13" s="318">
        <f t="shared" si="0"/>
        <v>0</v>
      </c>
      <c r="P13" s="319"/>
      <c r="Q13" s="316">
        <v>2000</v>
      </c>
      <c r="R13" s="317"/>
      <c r="S13" s="318">
        <f t="shared" si="1"/>
        <v>0</v>
      </c>
      <c r="T13" s="319"/>
      <c r="U13" s="320">
        <f t="shared" si="2"/>
        <v>1000</v>
      </c>
      <c r="V13" s="321">
        <f t="shared" si="3"/>
        <v>0</v>
      </c>
      <c r="W13" s="322">
        <f t="shared" si="3"/>
        <v>0</v>
      </c>
      <c r="X13" s="323"/>
    </row>
    <row r="14" spans="1:24" ht="25.5" x14ac:dyDescent="0.2">
      <c r="A14" s="753" t="s">
        <v>779</v>
      </c>
      <c r="B14" s="754"/>
      <c r="C14" s="754" t="s">
        <v>453</v>
      </c>
      <c r="D14" s="761" t="s">
        <v>824</v>
      </c>
      <c r="E14" s="755" t="s">
        <v>664</v>
      </c>
      <c r="F14" s="754" t="s">
        <v>665</v>
      </c>
      <c r="G14" s="754">
        <v>2799</v>
      </c>
      <c r="H14" s="314"/>
      <c r="I14" s="314"/>
      <c r="J14" s="314"/>
      <c r="K14" s="314"/>
      <c r="L14" s="314"/>
      <c r="M14" s="316">
        <v>600</v>
      </c>
      <c r="N14" s="317"/>
      <c r="O14" s="318">
        <f t="shared" si="0"/>
        <v>0</v>
      </c>
      <c r="P14" s="319"/>
      <c r="Q14" s="316">
        <v>1200</v>
      </c>
      <c r="R14" s="317"/>
      <c r="S14" s="318">
        <f t="shared" si="1"/>
        <v>0</v>
      </c>
      <c r="T14" s="319"/>
      <c r="U14" s="320">
        <f t="shared" si="2"/>
        <v>600</v>
      </c>
      <c r="V14" s="321">
        <f t="shared" si="3"/>
        <v>0</v>
      </c>
      <c r="W14" s="322">
        <f t="shared" si="3"/>
        <v>0</v>
      </c>
      <c r="X14" s="323"/>
    </row>
    <row r="15" spans="1:24" ht="25.5" x14ac:dyDescent="0.2">
      <c r="A15" s="753" t="s">
        <v>780</v>
      </c>
      <c r="B15" s="754"/>
      <c r="C15" s="754" t="s">
        <v>453</v>
      </c>
      <c r="D15" s="761" t="s">
        <v>825</v>
      </c>
      <c r="E15" s="755" t="s">
        <v>664</v>
      </c>
      <c r="F15" s="754" t="s">
        <v>665</v>
      </c>
      <c r="G15" s="754">
        <v>2799</v>
      </c>
      <c r="H15" s="314"/>
      <c r="I15" s="314"/>
      <c r="J15" s="314"/>
      <c r="K15" s="314"/>
      <c r="L15" s="314"/>
      <c r="M15" s="316">
        <v>8535</v>
      </c>
      <c r="N15" s="317"/>
      <c r="O15" s="318">
        <f t="shared" si="0"/>
        <v>0</v>
      </c>
      <c r="P15" s="319"/>
      <c r="Q15" s="316">
        <v>17357</v>
      </c>
      <c r="R15" s="317"/>
      <c r="S15" s="318">
        <f t="shared" si="1"/>
        <v>0</v>
      </c>
      <c r="T15" s="319"/>
      <c r="U15" s="320">
        <f t="shared" si="2"/>
        <v>8822</v>
      </c>
      <c r="V15" s="321">
        <f t="shared" si="3"/>
        <v>0</v>
      </c>
      <c r="W15" s="322">
        <f t="shared" si="3"/>
        <v>0</v>
      </c>
      <c r="X15" s="323"/>
    </row>
    <row r="16" spans="1:24" ht="25.5" x14ac:dyDescent="0.2">
      <c r="A16" s="753" t="s">
        <v>781</v>
      </c>
      <c r="B16" s="754"/>
      <c r="C16" s="754" t="s">
        <v>453</v>
      </c>
      <c r="D16" s="757" t="s">
        <v>782</v>
      </c>
      <c r="E16" s="755" t="s">
        <v>664</v>
      </c>
      <c r="F16" s="754" t="s">
        <v>665</v>
      </c>
      <c r="G16" s="754">
        <v>2799</v>
      </c>
      <c r="H16" s="314"/>
      <c r="I16" s="314"/>
      <c r="J16" s="314"/>
      <c r="K16" s="314"/>
      <c r="L16" s="314"/>
      <c r="M16" s="316">
        <v>500</v>
      </c>
      <c r="N16" s="317"/>
      <c r="O16" s="318">
        <f t="shared" si="0"/>
        <v>0</v>
      </c>
      <c r="P16" s="319"/>
      <c r="Q16" s="316">
        <v>1000</v>
      </c>
      <c r="R16" s="317"/>
      <c r="S16" s="318">
        <f t="shared" si="1"/>
        <v>0</v>
      </c>
      <c r="T16" s="319"/>
      <c r="U16" s="320">
        <f t="shared" si="2"/>
        <v>500</v>
      </c>
      <c r="V16" s="321">
        <f t="shared" si="3"/>
        <v>0</v>
      </c>
      <c r="W16" s="322">
        <f t="shared" si="3"/>
        <v>0</v>
      </c>
      <c r="X16" s="323"/>
    </row>
    <row r="17" spans="1:24" x14ac:dyDescent="0.2">
      <c r="A17" s="313"/>
      <c r="B17" s="314"/>
      <c r="C17" s="314"/>
      <c r="D17" s="804"/>
      <c r="E17" s="315"/>
      <c r="F17" s="314"/>
      <c r="G17" s="314"/>
      <c r="H17" s="314"/>
      <c r="I17" s="314"/>
      <c r="J17" s="314"/>
      <c r="K17" s="314"/>
      <c r="L17" s="314"/>
      <c r="M17" s="316"/>
      <c r="N17" s="317"/>
      <c r="O17" s="318">
        <f t="shared" si="0"/>
        <v>0</v>
      </c>
      <c r="P17" s="319"/>
      <c r="Q17" s="316"/>
      <c r="R17" s="317"/>
      <c r="S17" s="318">
        <f t="shared" si="1"/>
        <v>0</v>
      </c>
      <c r="T17" s="319"/>
      <c r="U17" s="320">
        <f t="shared" si="2"/>
        <v>0</v>
      </c>
      <c r="V17" s="321">
        <f t="shared" si="3"/>
        <v>0</v>
      </c>
      <c r="W17" s="322">
        <f t="shared" si="3"/>
        <v>0</v>
      </c>
      <c r="X17" s="323"/>
    </row>
    <row r="18" spans="1:24" ht="17.25" customHeight="1" x14ac:dyDescent="0.2">
      <c r="A18" s="313"/>
      <c r="B18" s="314"/>
      <c r="C18" s="314"/>
      <c r="D18" s="314"/>
      <c r="E18" s="315"/>
      <c r="F18" s="314"/>
      <c r="G18" s="314"/>
      <c r="H18" s="314"/>
      <c r="I18" s="314"/>
      <c r="J18" s="314"/>
      <c r="K18" s="314"/>
      <c r="L18" s="314"/>
      <c r="M18" s="316"/>
      <c r="N18" s="317"/>
      <c r="O18" s="318">
        <f t="shared" si="0"/>
        <v>0</v>
      </c>
      <c r="P18" s="319"/>
      <c r="Q18" s="316"/>
      <c r="R18" s="317"/>
      <c r="S18" s="318">
        <f t="shared" si="1"/>
        <v>0</v>
      </c>
      <c r="T18" s="319"/>
      <c r="U18" s="320">
        <f t="shared" si="2"/>
        <v>0</v>
      </c>
      <c r="V18" s="321">
        <f t="shared" si="3"/>
        <v>0</v>
      </c>
      <c r="W18" s="322">
        <f t="shared" si="3"/>
        <v>0</v>
      </c>
      <c r="X18" s="323"/>
    </row>
    <row r="19" spans="1:24" ht="17.25" customHeight="1" x14ac:dyDescent="0.2">
      <c r="A19" s="313"/>
      <c r="B19" s="314"/>
      <c r="C19" s="314"/>
      <c r="D19" s="314"/>
      <c r="E19" s="315"/>
      <c r="F19" s="314"/>
      <c r="G19" s="314"/>
      <c r="H19" s="314"/>
      <c r="I19" s="314"/>
      <c r="J19" s="314"/>
      <c r="K19" s="314"/>
      <c r="L19" s="314"/>
      <c r="M19" s="316"/>
      <c r="N19" s="317"/>
      <c r="O19" s="318">
        <f t="shared" si="0"/>
        <v>0</v>
      </c>
      <c r="P19" s="319"/>
      <c r="Q19" s="316"/>
      <c r="R19" s="317"/>
      <c r="S19" s="318">
        <f t="shared" si="1"/>
        <v>0</v>
      </c>
      <c r="T19" s="319"/>
      <c r="U19" s="320">
        <f t="shared" si="2"/>
        <v>0</v>
      </c>
      <c r="V19" s="321">
        <f t="shared" si="3"/>
        <v>0</v>
      </c>
      <c r="W19" s="322">
        <f t="shared" si="3"/>
        <v>0</v>
      </c>
      <c r="X19" s="323"/>
    </row>
    <row r="20" spans="1:24" ht="17.25" customHeight="1" x14ac:dyDescent="0.2">
      <c r="A20" s="313"/>
      <c r="B20" s="314"/>
      <c r="C20" s="314"/>
      <c r="D20" s="314"/>
      <c r="E20" s="315"/>
      <c r="F20" s="314"/>
      <c r="G20" s="314"/>
      <c r="H20" s="314"/>
      <c r="I20" s="314"/>
      <c r="J20" s="314"/>
      <c r="K20" s="314"/>
      <c r="L20" s="314"/>
      <c r="M20" s="316"/>
      <c r="N20" s="317"/>
      <c r="O20" s="318">
        <f t="shared" si="0"/>
        <v>0</v>
      </c>
      <c r="P20" s="319"/>
      <c r="Q20" s="316"/>
      <c r="R20" s="317"/>
      <c r="S20" s="318">
        <f t="shared" si="1"/>
        <v>0</v>
      </c>
      <c r="T20" s="319"/>
      <c r="U20" s="320">
        <f t="shared" si="2"/>
        <v>0</v>
      </c>
      <c r="V20" s="321">
        <f t="shared" si="3"/>
        <v>0</v>
      </c>
      <c r="W20" s="322">
        <f t="shared" si="3"/>
        <v>0</v>
      </c>
      <c r="X20" s="323"/>
    </row>
    <row r="21" spans="1:24" ht="17.25" customHeight="1" x14ac:dyDescent="0.2">
      <c r="A21" s="313"/>
      <c r="B21" s="314"/>
      <c r="C21" s="314"/>
      <c r="D21" s="314"/>
      <c r="E21" s="315"/>
      <c r="F21" s="314"/>
      <c r="G21" s="314"/>
      <c r="H21" s="314"/>
      <c r="I21" s="314"/>
      <c r="J21" s="314"/>
      <c r="K21" s="314"/>
      <c r="L21" s="314"/>
      <c r="M21" s="316"/>
      <c r="N21" s="317"/>
      <c r="O21" s="318">
        <f t="shared" si="0"/>
        <v>0</v>
      </c>
      <c r="P21" s="319"/>
      <c r="Q21" s="316"/>
      <c r="R21" s="317"/>
      <c r="S21" s="318">
        <f t="shared" si="1"/>
        <v>0</v>
      </c>
      <c r="T21" s="319"/>
      <c r="U21" s="320">
        <f t="shared" si="2"/>
        <v>0</v>
      </c>
      <c r="V21" s="321">
        <f t="shared" si="3"/>
        <v>0</v>
      </c>
      <c r="W21" s="322">
        <f t="shared" si="3"/>
        <v>0</v>
      </c>
      <c r="X21" s="323"/>
    </row>
    <row r="22" spans="1:24" ht="17.25" customHeight="1" x14ac:dyDescent="0.2">
      <c r="A22" s="313"/>
      <c r="B22" s="314"/>
      <c r="C22" s="314"/>
      <c r="D22" s="314"/>
      <c r="E22" s="315"/>
      <c r="F22" s="314"/>
      <c r="G22" s="314"/>
      <c r="H22" s="314"/>
      <c r="I22" s="314"/>
      <c r="J22" s="314"/>
      <c r="K22" s="314"/>
      <c r="L22" s="314"/>
      <c r="M22" s="316"/>
      <c r="N22" s="317"/>
      <c r="O22" s="318">
        <f t="shared" si="0"/>
        <v>0</v>
      </c>
      <c r="P22" s="319"/>
      <c r="Q22" s="316"/>
      <c r="R22" s="317"/>
      <c r="S22" s="318">
        <f t="shared" si="1"/>
        <v>0</v>
      </c>
      <c r="T22" s="319"/>
      <c r="U22" s="320">
        <f t="shared" si="2"/>
        <v>0</v>
      </c>
      <c r="V22" s="321">
        <f t="shared" si="3"/>
        <v>0</v>
      </c>
      <c r="W22" s="322">
        <f t="shared" si="3"/>
        <v>0</v>
      </c>
      <c r="X22" s="323"/>
    </row>
    <row r="23" spans="1:24" ht="17.25" customHeight="1" x14ac:dyDescent="0.2">
      <c r="A23" s="313"/>
      <c r="B23" s="314"/>
      <c r="C23" s="314"/>
      <c r="D23" s="314"/>
      <c r="E23" s="315"/>
      <c r="F23" s="314"/>
      <c r="G23" s="314"/>
      <c r="H23" s="314"/>
      <c r="I23" s="314"/>
      <c r="J23" s="314"/>
      <c r="K23" s="314"/>
      <c r="L23" s="314"/>
      <c r="M23" s="316"/>
      <c r="N23" s="317"/>
      <c r="O23" s="318">
        <f t="shared" si="0"/>
        <v>0</v>
      </c>
      <c r="P23" s="319"/>
      <c r="Q23" s="316"/>
      <c r="R23" s="317"/>
      <c r="S23" s="318">
        <f t="shared" si="1"/>
        <v>0</v>
      </c>
      <c r="T23" s="319"/>
      <c r="U23" s="320">
        <f t="shared" si="2"/>
        <v>0</v>
      </c>
      <c r="V23" s="321">
        <f t="shared" si="3"/>
        <v>0</v>
      </c>
      <c r="W23" s="322">
        <f t="shared" si="3"/>
        <v>0</v>
      </c>
      <c r="X23" s="323"/>
    </row>
    <row r="24" spans="1:24" ht="17.25" customHeight="1" x14ac:dyDescent="0.2">
      <c r="A24" s="313"/>
      <c r="B24" s="314"/>
      <c r="C24" s="314"/>
      <c r="D24" s="314"/>
      <c r="E24" s="315"/>
      <c r="F24" s="314"/>
      <c r="G24" s="314"/>
      <c r="H24" s="314"/>
      <c r="I24" s="314"/>
      <c r="J24" s="314"/>
      <c r="K24" s="314"/>
      <c r="L24" s="314"/>
      <c r="M24" s="316"/>
      <c r="N24" s="317"/>
      <c r="O24" s="318">
        <f t="shared" si="0"/>
        <v>0</v>
      </c>
      <c r="P24" s="319"/>
      <c r="Q24" s="316"/>
      <c r="R24" s="317"/>
      <c r="S24" s="318">
        <f t="shared" si="1"/>
        <v>0</v>
      </c>
      <c r="T24" s="319"/>
      <c r="U24" s="320">
        <f t="shared" si="2"/>
        <v>0</v>
      </c>
      <c r="V24" s="321">
        <f t="shared" si="3"/>
        <v>0</v>
      </c>
      <c r="W24" s="322">
        <f t="shared" si="3"/>
        <v>0</v>
      </c>
      <c r="X24" s="323"/>
    </row>
    <row r="25" spans="1:24" ht="17.25" customHeight="1" thickBot="1" x14ac:dyDescent="0.25">
      <c r="A25" s="324"/>
      <c r="B25" s="325"/>
      <c r="C25" s="325"/>
      <c r="D25" s="325"/>
      <c r="E25" s="326"/>
      <c r="F25" s="325"/>
      <c r="G25" s="325"/>
      <c r="H25" s="325"/>
      <c r="I25" s="325"/>
      <c r="J25" s="325"/>
      <c r="K25" s="325"/>
      <c r="L25" s="325"/>
      <c r="M25" s="327"/>
      <c r="N25" s="328"/>
      <c r="O25" s="329">
        <f t="shared" si="0"/>
        <v>0</v>
      </c>
      <c r="P25" s="330"/>
      <c r="Q25" s="327"/>
      <c r="R25" s="328"/>
      <c r="S25" s="329">
        <f t="shared" si="1"/>
        <v>0</v>
      </c>
      <c r="T25" s="330"/>
      <c r="U25" s="331">
        <f t="shared" si="2"/>
        <v>0</v>
      </c>
      <c r="V25" s="332">
        <f t="shared" si="3"/>
        <v>0</v>
      </c>
      <c r="W25" s="333">
        <f t="shared" si="3"/>
        <v>0</v>
      </c>
      <c r="X25" s="334"/>
    </row>
    <row r="26" spans="1:24" ht="18.75" customHeight="1" thickBot="1" x14ac:dyDescent="0.25">
      <c r="A26" s="218"/>
      <c r="B26" s="218"/>
      <c r="C26" s="218"/>
      <c r="D26" s="218"/>
      <c r="E26" s="218"/>
      <c r="F26" s="218"/>
      <c r="G26" s="218"/>
      <c r="H26" s="218"/>
      <c r="I26" s="218"/>
      <c r="J26" s="218"/>
      <c r="K26" s="218"/>
      <c r="L26" s="218"/>
      <c r="M26" s="335">
        <f>SUM(M7:M25)</f>
        <v>1259725</v>
      </c>
      <c r="N26" s="336"/>
      <c r="O26" s="337">
        <f>SUM(O7:O25)</f>
        <v>0</v>
      </c>
      <c r="P26" s="338">
        <f>SUM(P7:P25)</f>
        <v>0</v>
      </c>
      <c r="Q26" s="335">
        <f>SUM(Q7:Q25)</f>
        <v>1951356</v>
      </c>
      <c r="R26" s="336"/>
      <c r="S26" s="337">
        <f>SUM(S7:S25)</f>
        <v>0</v>
      </c>
      <c r="T26" s="339">
        <f>SUM(T7:T25)</f>
        <v>0</v>
      </c>
      <c r="U26" s="340">
        <f>SUM(U7:U25)</f>
        <v>691631</v>
      </c>
      <c r="V26" s="337">
        <f>SUM(V7:V25)</f>
        <v>0</v>
      </c>
      <c r="W26" s="339">
        <f>SUM(W7:W25)</f>
        <v>0</v>
      </c>
      <c r="X26" s="341"/>
    </row>
    <row r="27" spans="1:24" x14ac:dyDescent="0.2">
      <c r="T27" s="342"/>
    </row>
    <row r="28" spans="1:24" ht="13.5" thickBot="1" x14ac:dyDescent="0.25">
      <c r="C28" s="343"/>
    </row>
    <row r="29" spans="1:24" s="344" customFormat="1" ht="57" customHeight="1" thickBot="1" x14ac:dyDescent="0.25">
      <c r="A29" s="295" t="s">
        <v>754</v>
      </c>
      <c r="B29" s="296"/>
      <c r="C29" s="296"/>
      <c r="D29" s="296"/>
      <c r="E29" s="296"/>
      <c r="F29" s="296"/>
      <c r="G29" s="296"/>
      <c r="H29" s="296"/>
      <c r="I29" s="296"/>
      <c r="J29" s="296"/>
      <c r="K29" s="296"/>
      <c r="L29" s="296"/>
      <c r="M29" s="882" t="s">
        <v>756</v>
      </c>
      <c r="N29" s="883"/>
      <c r="O29" s="883"/>
      <c r="P29" s="884"/>
      <c r="Q29" s="882" t="s">
        <v>757</v>
      </c>
      <c r="R29" s="883"/>
      <c r="S29" s="883"/>
      <c r="T29" s="884"/>
      <c r="U29" s="885" t="s">
        <v>175</v>
      </c>
      <c r="V29" s="886"/>
      <c r="W29" s="886"/>
      <c r="X29" s="887"/>
    </row>
    <row r="30" spans="1:24" s="298" customFormat="1" ht="27" customHeight="1" x14ac:dyDescent="0.2">
      <c r="A30" s="871" t="s">
        <v>176</v>
      </c>
      <c r="B30" s="873" t="s">
        <v>177</v>
      </c>
      <c r="C30" s="873" t="s">
        <v>178</v>
      </c>
      <c r="D30" s="873" t="s">
        <v>179</v>
      </c>
      <c r="E30" s="875" t="s">
        <v>180</v>
      </c>
      <c r="F30" s="873" t="s">
        <v>4</v>
      </c>
      <c r="G30" s="873" t="s">
        <v>47</v>
      </c>
      <c r="H30" s="873" t="s">
        <v>181</v>
      </c>
      <c r="I30" s="873" t="s">
        <v>182</v>
      </c>
      <c r="J30" s="877" t="s">
        <v>183</v>
      </c>
      <c r="K30" s="878"/>
      <c r="L30" s="879"/>
      <c r="M30" s="880" t="s">
        <v>184</v>
      </c>
      <c r="N30" s="869" t="s">
        <v>185</v>
      </c>
      <c r="O30" s="861" t="s">
        <v>186</v>
      </c>
      <c r="P30" s="863" t="s">
        <v>187</v>
      </c>
      <c r="Q30" s="865" t="s">
        <v>188</v>
      </c>
      <c r="R30" s="861" t="s">
        <v>185</v>
      </c>
      <c r="S30" s="867" t="s">
        <v>189</v>
      </c>
      <c r="T30" s="863" t="s">
        <v>187</v>
      </c>
      <c r="U30" s="855" t="s">
        <v>190</v>
      </c>
      <c r="V30" s="857" t="s">
        <v>191</v>
      </c>
      <c r="W30" s="857" t="s">
        <v>192</v>
      </c>
      <c r="X30" s="859" t="s">
        <v>193</v>
      </c>
    </row>
    <row r="31" spans="1:24" s="302" customFormat="1" ht="27" customHeight="1" thickBot="1" x14ac:dyDescent="0.25">
      <c r="A31" s="872"/>
      <c r="B31" s="874"/>
      <c r="C31" s="874"/>
      <c r="D31" s="874"/>
      <c r="E31" s="876"/>
      <c r="F31" s="874"/>
      <c r="G31" s="874"/>
      <c r="H31" s="874"/>
      <c r="I31" s="874"/>
      <c r="J31" s="299" t="s">
        <v>194</v>
      </c>
      <c r="K31" s="300" t="s">
        <v>195</v>
      </c>
      <c r="L31" s="301" t="s">
        <v>196</v>
      </c>
      <c r="M31" s="881"/>
      <c r="N31" s="870"/>
      <c r="O31" s="862"/>
      <c r="P31" s="864"/>
      <c r="Q31" s="866"/>
      <c r="R31" s="862"/>
      <c r="S31" s="868"/>
      <c r="T31" s="864"/>
      <c r="U31" s="856"/>
      <c r="V31" s="858"/>
      <c r="W31" s="858"/>
      <c r="X31" s="860"/>
    </row>
    <row r="32" spans="1:24" s="312" customFormat="1" x14ac:dyDescent="0.2">
      <c r="A32" s="767" t="s">
        <v>816</v>
      </c>
      <c r="B32" s="763"/>
      <c r="C32" s="765" t="s">
        <v>453</v>
      </c>
      <c r="D32" s="770" t="s">
        <v>817</v>
      </c>
      <c r="E32" s="771" t="s">
        <v>664</v>
      </c>
      <c r="F32" s="763" t="s">
        <v>665</v>
      </c>
      <c r="G32" s="763">
        <v>2710</v>
      </c>
      <c r="H32" s="303"/>
      <c r="I32" s="303"/>
      <c r="J32" s="303"/>
      <c r="K32" s="303"/>
      <c r="L32" s="303"/>
      <c r="M32" s="304">
        <v>650290</v>
      </c>
      <c r="N32" s="305"/>
      <c r="O32" s="306">
        <f t="shared" ref="O32:O50" si="4">M32*N32</f>
        <v>0</v>
      </c>
      <c r="P32" s="307"/>
      <c r="Q32" s="304">
        <v>425960</v>
      </c>
      <c r="R32" s="305"/>
      <c r="S32" s="306">
        <f t="shared" ref="S32:S50" si="5">Q32*R32</f>
        <v>0</v>
      </c>
      <c r="T32" s="307"/>
      <c r="U32" s="308">
        <f t="shared" ref="U32:U50" si="6">Q32-M32</f>
        <v>-224330</v>
      </c>
      <c r="V32" s="309">
        <f t="shared" ref="V32:W50" si="7">S32-O32</f>
        <v>0</v>
      </c>
      <c r="W32" s="310">
        <f t="shared" si="7"/>
        <v>0</v>
      </c>
      <c r="X32" s="311"/>
    </row>
    <row r="33" spans="1:24" ht="25.5" x14ac:dyDescent="0.2">
      <c r="A33" s="764" t="s">
        <v>775</v>
      </c>
      <c r="B33" s="765"/>
      <c r="C33" s="765" t="s">
        <v>453</v>
      </c>
      <c r="D33" s="770" t="s">
        <v>818</v>
      </c>
      <c r="E33" s="766" t="s">
        <v>664</v>
      </c>
      <c r="F33" s="765" t="s">
        <v>665</v>
      </c>
      <c r="G33" s="765">
        <v>2799</v>
      </c>
      <c r="H33" s="314"/>
      <c r="I33" s="314"/>
      <c r="J33" s="314"/>
      <c r="K33" s="314"/>
      <c r="L33" s="314"/>
      <c r="M33" s="316">
        <v>883700</v>
      </c>
      <c r="N33" s="317"/>
      <c r="O33" s="318">
        <f t="shared" si="4"/>
        <v>0</v>
      </c>
      <c r="P33" s="319"/>
      <c r="Q33" s="316">
        <v>883700</v>
      </c>
      <c r="R33" s="317"/>
      <c r="S33" s="318">
        <f t="shared" si="5"/>
        <v>0</v>
      </c>
      <c r="T33" s="319"/>
      <c r="U33" s="320">
        <f t="shared" si="6"/>
        <v>0</v>
      </c>
      <c r="V33" s="321">
        <f t="shared" si="7"/>
        <v>0</v>
      </c>
      <c r="W33" s="322">
        <f t="shared" si="7"/>
        <v>0</v>
      </c>
      <c r="X33" s="323"/>
    </row>
    <row r="34" spans="1:24" x14ac:dyDescent="0.2">
      <c r="A34" s="764" t="s">
        <v>776</v>
      </c>
      <c r="B34" s="765"/>
      <c r="C34" s="765" t="s">
        <v>453</v>
      </c>
      <c r="D34" s="770" t="s">
        <v>819</v>
      </c>
      <c r="E34" s="766" t="s">
        <v>664</v>
      </c>
      <c r="F34" s="765" t="s">
        <v>665</v>
      </c>
      <c r="G34" s="765">
        <v>2799</v>
      </c>
      <c r="H34" s="314"/>
      <c r="I34" s="314"/>
      <c r="J34" s="314"/>
      <c r="K34" s="314"/>
      <c r="L34" s="314"/>
      <c r="M34" s="316">
        <v>170000</v>
      </c>
      <c r="N34" s="317"/>
      <c r="O34" s="318">
        <f t="shared" si="4"/>
        <v>0</v>
      </c>
      <c r="P34" s="319"/>
      <c r="Q34" s="316">
        <v>170000</v>
      </c>
      <c r="R34" s="317"/>
      <c r="S34" s="318">
        <f t="shared" si="5"/>
        <v>0</v>
      </c>
      <c r="T34" s="319"/>
      <c r="U34" s="320">
        <f t="shared" si="6"/>
        <v>0</v>
      </c>
      <c r="V34" s="321">
        <f t="shared" si="7"/>
        <v>0</v>
      </c>
      <c r="W34" s="322">
        <f t="shared" si="7"/>
        <v>0</v>
      </c>
      <c r="X34" s="323"/>
    </row>
    <row r="35" spans="1:24" x14ac:dyDescent="0.2">
      <c r="A35" s="764" t="s">
        <v>846</v>
      </c>
      <c r="B35" s="765"/>
      <c r="C35" s="765" t="s">
        <v>453</v>
      </c>
      <c r="D35" s="770" t="s">
        <v>820</v>
      </c>
      <c r="E35" s="766" t="s">
        <v>664</v>
      </c>
      <c r="F35" s="765" t="s">
        <v>665</v>
      </c>
      <c r="G35" s="765">
        <v>2799</v>
      </c>
      <c r="H35" s="314"/>
      <c r="I35" s="314"/>
      <c r="J35" s="314"/>
      <c r="K35" s="314"/>
      <c r="L35" s="314"/>
      <c r="M35" s="316">
        <v>223229</v>
      </c>
      <c r="N35" s="317"/>
      <c r="O35" s="318">
        <f t="shared" si="4"/>
        <v>0</v>
      </c>
      <c r="P35" s="319"/>
      <c r="Q35" s="316">
        <v>201573.864</v>
      </c>
      <c r="R35" s="317"/>
      <c r="S35" s="318">
        <f t="shared" si="5"/>
        <v>0</v>
      </c>
      <c r="T35" s="319"/>
      <c r="U35" s="320">
        <f t="shared" si="6"/>
        <v>-21655.135999999999</v>
      </c>
      <c r="V35" s="321">
        <f t="shared" si="7"/>
        <v>0</v>
      </c>
      <c r="W35" s="322">
        <f t="shared" si="7"/>
        <v>0</v>
      </c>
      <c r="X35" s="323"/>
    </row>
    <row r="36" spans="1:24" s="785" customFormat="1" x14ac:dyDescent="0.2">
      <c r="A36" s="790" t="s">
        <v>844</v>
      </c>
      <c r="B36" s="806"/>
      <c r="C36" s="806" t="s">
        <v>453</v>
      </c>
      <c r="D36" s="807" t="s">
        <v>821</v>
      </c>
      <c r="E36" s="808" t="s">
        <v>664</v>
      </c>
      <c r="F36" s="806" t="s">
        <v>665</v>
      </c>
      <c r="G36" s="806">
        <v>2799</v>
      </c>
      <c r="H36" s="809"/>
      <c r="I36" s="809"/>
      <c r="J36" s="809"/>
      <c r="K36" s="809"/>
      <c r="L36" s="809"/>
      <c r="M36" s="805">
        <v>2400</v>
      </c>
      <c r="N36" s="810"/>
      <c r="O36" s="811">
        <f t="shared" si="4"/>
        <v>0</v>
      </c>
      <c r="P36" s="812"/>
      <c r="Q36" s="805">
        <v>1200</v>
      </c>
      <c r="R36" s="810"/>
      <c r="S36" s="811">
        <f t="shared" si="5"/>
        <v>0</v>
      </c>
      <c r="T36" s="812"/>
      <c r="U36" s="320">
        <f t="shared" si="6"/>
        <v>-1200</v>
      </c>
      <c r="V36" s="321">
        <f t="shared" si="7"/>
        <v>0</v>
      </c>
      <c r="W36" s="322">
        <f t="shared" si="7"/>
        <v>0</v>
      </c>
      <c r="X36" s="323"/>
    </row>
    <row r="37" spans="1:24" ht="38.25" x14ac:dyDescent="0.2">
      <c r="A37" s="790" t="s">
        <v>777</v>
      </c>
      <c r="B37" s="765"/>
      <c r="C37" s="765" t="s">
        <v>453</v>
      </c>
      <c r="D37" s="773" t="s">
        <v>822</v>
      </c>
      <c r="E37" s="766" t="s">
        <v>664</v>
      </c>
      <c r="F37" s="765" t="s">
        <v>665</v>
      </c>
      <c r="G37" s="765">
        <v>2799</v>
      </c>
      <c r="H37" s="314"/>
      <c r="I37" s="314"/>
      <c r="J37" s="314"/>
      <c r="K37" s="314"/>
      <c r="L37" s="314"/>
      <c r="M37" s="316">
        <v>180</v>
      </c>
      <c r="N37" s="317"/>
      <c r="O37" s="318">
        <f t="shared" si="4"/>
        <v>0</v>
      </c>
      <c r="P37" s="319"/>
      <c r="Q37" s="316">
        <v>90</v>
      </c>
      <c r="R37" s="317"/>
      <c r="S37" s="318">
        <f t="shared" si="5"/>
        <v>0</v>
      </c>
      <c r="T37" s="319"/>
      <c r="U37" s="320">
        <f t="shared" si="6"/>
        <v>-90</v>
      </c>
      <c r="V37" s="321">
        <f t="shared" si="7"/>
        <v>0</v>
      </c>
      <c r="W37" s="322">
        <f t="shared" si="7"/>
        <v>0</v>
      </c>
      <c r="X37" s="323"/>
    </row>
    <row r="38" spans="1:24" s="197" customFormat="1" ht="25.5" x14ac:dyDescent="0.2">
      <c r="A38" s="764" t="s">
        <v>778</v>
      </c>
      <c r="B38" s="765"/>
      <c r="C38" s="765" t="s">
        <v>453</v>
      </c>
      <c r="D38" s="772" t="s">
        <v>823</v>
      </c>
      <c r="E38" s="766" t="s">
        <v>664</v>
      </c>
      <c r="F38" s="765" t="s">
        <v>665</v>
      </c>
      <c r="G38" s="765">
        <v>2799</v>
      </c>
      <c r="H38" s="314"/>
      <c r="I38" s="314"/>
      <c r="J38" s="314"/>
      <c r="K38" s="314"/>
      <c r="L38" s="314"/>
      <c r="M38" s="316">
        <v>2000</v>
      </c>
      <c r="N38" s="317"/>
      <c r="O38" s="318">
        <f t="shared" si="4"/>
        <v>0</v>
      </c>
      <c r="P38" s="319"/>
      <c r="Q38" s="316">
        <v>1000</v>
      </c>
      <c r="R38" s="317"/>
      <c r="S38" s="318">
        <f t="shared" si="5"/>
        <v>0</v>
      </c>
      <c r="T38" s="319"/>
      <c r="U38" s="320">
        <f t="shared" si="6"/>
        <v>-1000</v>
      </c>
      <c r="V38" s="321">
        <f t="shared" si="7"/>
        <v>0</v>
      </c>
      <c r="W38" s="322">
        <f t="shared" si="7"/>
        <v>0</v>
      </c>
      <c r="X38" s="323"/>
    </row>
    <row r="39" spans="1:24" ht="25.5" x14ac:dyDescent="0.2">
      <c r="A39" s="764" t="s">
        <v>779</v>
      </c>
      <c r="B39" s="765"/>
      <c r="C39" s="765" t="s">
        <v>453</v>
      </c>
      <c r="D39" s="773" t="s">
        <v>824</v>
      </c>
      <c r="E39" s="766" t="s">
        <v>664</v>
      </c>
      <c r="F39" s="765" t="s">
        <v>665</v>
      </c>
      <c r="G39" s="765">
        <v>2799</v>
      </c>
      <c r="H39" s="314"/>
      <c r="I39" s="314"/>
      <c r="J39" s="314"/>
      <c r="K39" s="314"/>
      <c r="L39" s="314"/>
      <c r="M39" s="316">
        <v>1200</v>
      </c>
      <c r="N39" s="317"/>
      <c r="O39" s="318">
        <f t="shared" si="4"/>
        <v>0</v>
      </c>
      <c r="P39" s="319"/>
      <c r="Q39" s="316">
        <v>600</v>
      </c>
      <c r="R39" s="317"/>
      <c r="S39" s="318">
        <f t="shared" si="5"/>
        <v>0</v>
      </c>
      <c r="T39" s="319"/>
      <c r="U39" s="320">
        <f t="shared" si="6"/>
        <v>-600</v>
      </c>
      <c r="V39" s="321">
        <f t="shared" si="7"/>
        <v>0</v>
      </c>
      <c r="W39" s="322">
        <f t="shared" si="7"/>
        <v>0</v>
      </c>
      <c r="X39" s="323"/>
    </row>
    <row r="40" spans="1:24" ht="25.5" x14ac:dyDescent="0.2">
      <c r="A40" s="764" t="s">
        <v>780</v>
      </c>
      <c r="B40" s="765"/>
      <c r="C40" s="765" t="s">
        <v>453</v>
      </c>
      <c r="D40" s="773" t="s">
        <v>825</v>
      </c>
      <c r="E40" s="766" t="s">
        <v>664</v>
      </c>
      <c r="F40" s="765" t="s">
        <v>665</v>
      </c>
      <c r="G40" s="765">
        <v>2799</v>
      </c>
      <c r="H40" s="314"/>
      <c r="I40" s="314"/>
      <c r="J40" s="314"/>
      <c r="K40" s="314"/>
      <c r="L40" s="314"/>
      <c r="M40" s="316">
        <v>17357</v>
      </c>
      <c r="N40" s="317"/>
      <c r="O40" s="318">
        <f t="shared" si="4"/>
        <v>0</v>
      </c>
      <c r="P40" s="319"/>
      <c r="Q40" s="316">
        <v>12789</v>
      </c>
      <c r="R40" s="317"/>
      <c r="S40" s="318">
        <f t="shared" si="5"/>
        <v>0</v>
      </c>
      <c r="T40" s="319"/>
      <c r="U40" s="320">
        <f t="shared" si="6"/>
        <v>-4568</v>
      </c>
      <c r="V40" s="321">
        <f t="shared" si="7"/>
        <v>0</v>
      </c>
      <c r="W40" s="322">
        <f t="shared" si="7"/>
        <v>0</v>
      </c>
      <c r="X40" s="323"/>
    </row>
    <row r="41" spans="1:24" ht="25.5" x14ac:dyDescent="0.2">
      <c r="A41" s="764" t="s">
        <v>781</v>
      </c>
      <c r="B41" s="765"/>
      <c r="C41" s="765" t="s">
        <v>453</v>
      </c>
      <c r="D41" s="768" t="s">
        <v>782</v>
      </c>
      <c r="E41" s="766" t="s">
        <v>664</v>
      </c>
      <c r="F41" s="765" t="s">
        <v>665</v>
      </c>
      <c r="G41" s="765">
        <v>2799</v>
      </c>
      <c r="H41" s="314"/>
      <c r="I41" s="314"/>
      <c r="J41" s="314"/>
      <c r="K41" s="314"/>
      <c r="L41" s="314"/>
      <c r="M41" s="316">
        <v>1000</v>
      </c>
      <c r="N41" s="317"/>
      <c r="O41" s="318">
        <f t="shared" si="4"/>
        <v>0</v>
      </c>
      <c r="P41" s="319"/>
      <c r="Q41" s="316">
        <v>500</v>
      </c>
      <c r="R41" s="317"/>
      <c r="S41" s="318">
        <f t="shared" si="5"/>
        <v>0</v>
      </c>
      <c r="T41" s="319"/>
      <c r="U41" s="320">
        <f t="shared" si="6"/>
        <v>-500</v>
      </c>
      <c r="V41" s="321">
        <f t="shared" si="7"/>
        <v>0</v>
      </c>
      <c r="W41" s="322">
        <f t="shared" si="7"/>
        <v>0</v>
      </c>
      <c r="X41" s="323"/>
    </row>
    <row r="42" spans="1:24" ht="17.25" customHeight="1" x14ac:dyDescent="0.2">
      <c r="A42" s="313"/>
      <c r="B42" s="314"/>
      <c r="C42" s="314"/>
      <c r="D42" s="314"/>
      <c r="E42" s="315"/>
      <c r="F42" s="314"/>
      <c r="G42" s="314"/>
      <c r="H42" s="314"/>
      <c r="I42" s="314"/>
      <c r="J42" s="314"/>
      <c r="K42" s="314"/>
      <c r="L42" s="314"/>
      <c r="M42" s="316"/>
      <c r="N42" s="317"/>
      <c r="O42" s="318">
        <f t="shared" si="4"/>
        <v>0</v>
      </c>
      <c r="P42" s="319"/>
      <c r="Q42" s="316"/>
      <c r="R42" s="317"/>
      <c r="S42" s="318">
        <f t="shared" si="5"/>
        <v>0</v>
      </c>
      <c r="T42" s="319"/>
      <c r="U42" s="320">
        <f t="shared" si="6"/>
        <v>0</v>
      </c>
      <c r="V42" s="321">
        <f t="shared" si="7"/>
        <v>0</v>
      </c>
      <c r="W42" s="322">
        <f t="shared" si="7"/>
        <v>0</v>
      </c>
      <c r="X42" s="323"/>
    </row>
    <row r="43" spans="1:24" ht="17.25" customHeight="1" x14ac:dyDescent="0.2">
      <c r="A43" s="313"/>
      <c r="B43" s="314"/>
      <c r="C43" s="314"/>
      <c r="D43" s="314"/>
      <c r="E43" s="315"/>
      <c r="F43" s="314"/>
      <c r="G43" s="314"/>
      <c r="H43" s="314"/>
      <c r="I43" s="314"/>
      <c r="J43" s="314"/>
      <c r="K43" s="314"/>
      <c r="L43" s="314"/>
      <c r="M43" s="316"/>
      <c r="N43" s="317"/>
      <c r="O43" s="318">
        <f t="shared" si="4"/>
        <v>0</v>
      </c>
      <c r="P43" s="319"/>
      <c r="Q43" s="316"/>
      <c r="R43" s="317"/>
      <c r="S43" s="318">
        <f t="shared" si="5"/>
        <v>0</v>
      </c>
      <c r="T43" s="319"/>
      <c r="U43" s="320">
        <f t="shared" si="6"/>
        <v>0</v>
      </c>
      <c r="V43" s="321">
        <f t="shared" si="7"/>
        <v>0</v>
      </c>
      <c r="W43" s="322">
        <f t="shared" si="7"/>
        <v>0</v>
      </c>
      <c r="X43" s="323"/>
    </row>
    <row r="44" spans="1:24" ht="17.25" customHeight="1" x14ac:dyDescent="0.2">
      <c r="A44" s="313"/>
      <c r="B44" s="314"/>
      <c r="C44" s="314"/>
      <c r="D44" s="314"/>
      <c r="E44" s="315"/>
      <c r="F44" s="314"/>
      <c r="G44" s="314"/>
      <c r="H44" s="314"/>
      <c r="I44" s="314"/>
      <c r="J44" s="314"/>
      <c r="K44" s="314"/>
      <c r="L44" s="314"/>
      <c r="M44" s="316"/>
      <c r="N44" s="317"/>
      <c r="O44" s="318">
        <f t="shared" si="4"/>
        <v>0</v>
      </c>
      <c r="P44" s="319"/>
      <c r="Q44" s="316"/>
      <c r="R44" s="317"/>
      <c r="S44" s="318">
        <f t="shared" si="5"/>
        <v>0</v>
      </c>
      <c r="T44" s="319"/>
      <c r="U44" s="320">
        <f t="shared" si="6"/>
        <v>0</v>
      </c>
      <c r="V44" s="321">
        <f t="shared" si="7"/>
        <v>0</v>
      </c>
      <c r="W44" s="322">
        <f t="shared" si="7"/>
        <v>0</v>
      </c>
      <c r="X44" s="323"/>
    </row>
    <row r="45" spans="1:24" ht="17.25" customHeight="1" x14ac:dyDescent="0.2">
      <c r="A45" s="313"/>
      <c r="B45" s="314"/>
      <c r="C45" s="314"/>
      <c r="D45" s="314"/>
      <c r="E45" s="315"/>
      <c r="F45" s="314"/>
      <c r="G45" s="314"/>
      <c r="H45" s="314"/>
      <c r="I45" s="314"/>
      <c r="J45" s="314"/>
      <c r="K45" s="314"/>
      <c r="L45" s="314"/>
      <c r="M45" s="316"/>
      <c r="N45" s="317"/>
      <c r="O45" s="318">
        <f t="shared" si="4"/>
        <v>0</v>
      </c>
      <c r="P45" s="319"/>
      <c r="Q45" s="316"/>
      <c r="R45" s="317"/>
      <c r="S45" s="318">
        <f t="shared" si="5"/>
        <v>0</v>
      </c>
      <c r="T45" s="319"/>
      <c r="U45" s="320">
        <f t="shared" si="6"/>
        <v>0</v>
      </c>
      <c r="V45" s="321">
        <f t="shared" si="7"/>
        <v>0</v>
      </c>
      <c r="W45" s="322">
        <f t="shared" si="7"/>
        <v>0</v>
      </c>
      <c r="X45" s="323"/>
    </row>
    <row r="46" spans="1:24" ht="17.25" customHeight="1" x14ac:dyDescent="0.2">
      <c r="A46" s="313"/>
      <c r="B46" s="314"/>
      <c r="C46" s="314"/>
      <c r="D46" s="314"/>
      <c r="E46" s="315"/>
      <c r="F46" s="314"/>
      <c r="G46" s="314"/>
      <c r="H46" s="314"/>
      <c r="I46" s="314"/>
      <c r="J46" s="314"/>
      <c r="K46" s="314"/>
      <c r="L46" s="314"/>
      <c r="M46" s="316"/>
      <c r="N46" s="317"/>
      <c r="O46" s="318">
        <f t="shared" si="4"/>
        <v>0</v>
      </c>
      <c r="P46" s="319"/>
      <c r="Q46" s="316"/>
      <c r="R46" s="317"/>
      <c r="S46" s="318">
        <f t="shared" si="5"/>
        <v>0</v>
      </c>
      <c r="T46" s="319"/>
      <c r="U46" s="320">
        <f t="shared" si="6"/>
        <v>0</v>
      </c>
      <c r="V46" s="321">
        <f t="shared" si="7"/>
        <v>0</v>
      </c>
      <c r="W46" s="322">
        <f t="shared" si="7"/>
        <v>0</v>
      </c>
      <c r="X46" s="323"/>
    </row>
    <row r="47" spans="1:24" ht="17.25" customHeight="1" x14ac:dyDescent="0.2">
      <c r="A47" s="313"/>
      <c r="B47" s="314"/>
      <c r="C47" s="314"/>
      <c r="D47" s="314"/>
      <c r="E47" s="315"/>
      <c r="F47" s="314"/>
      <c r="G47" s="314"/>
      <c r="H47" s="314"/>
      <c r="I47" s="314"/>
      <c r="J47" s="314"/>
      <c r="K47" s="314"/>
      <c r="L47" s="314"/>
      <c r="M47" s="316"/>
      <c r="N47" s="317"/>
      <c r="O47" s="318">
        <f t="shared" si="4"/>
        <v>0</v>
      </c>
      <c r="P47" s="319"/>
      <c r="Q47" s="316"/>
      <c r="R47" s="317"/>
      <c r="S47" s="318">
        <f t="shared" si="5"/>
        <v>0</v>
      </c>
      <c r="T47" s="319"/>
      <c r="U47" s="320">
        <f t="shared" si="6"/>
        <v>0</v>
      </c>
      <c r="V47" s="321">
        <f t="shared" si="7"/>
        <v>0</v>
      </c>
      <c r="W47" s="322">
        <f t="shared" si="7"/>
        <v>0</v>
      </c>
      <c r="X47" s="323"/>
    </row>
    <row r="48" spans="1:24" ht="17.25" customHeight="1" x14ac:dyDescent="0.2">
      <c r="A48" s="313"/>
      <c r="B48" s="314"/>
      <c r="C48" s="314"/>
      <c r="D48" s="314"/>
      <c r="E48" s="315"/>
      <c r="F48" s="314"/>
      <c r="G48" s="314"/>
      <c r="H48" s="314"/>
      <c r="I48" s="314"/>
      <c r="J48" s="314"/>
      <c r="K48" s="314"/>
      <c r="L48" s="314"/>
      <c r="M48" s="316"/>
      <c r="N48" s="317"/>
      <c r="O48" s="318">
        <f t="shared" si="4"/>
        <v>0</v>
      </c>
      <c r="P48" s="319"/>
      <c r="Q48" s="316"/>
      <c r="R48" s="317"/>
      <c r="S48" s="318">
        <f t="shared" si="5"/>
        <v>0</v>
      </c>
      <c r="T48" s="319"/>
      <c r="U48" s="320">
        <f t="shared" si="6"/>
        <v>0</v>
      </c>
      <c r="V48" s="321">
        <f t="shared" si="7"/>
        <v>0</v>
      </c>
      <c r="W48" s="322">
        <f t="shared" si="7"/>
        <v>0</v>
      </c>
      <c r="X48" s="323"/>
    </row>
    <row r="49" spans="1:24" ht="17.25" customHeight="1" x14ac:dyDescent="0.2">
      <c r="A49" s="313"/>
      <c r="B49" s="314"/>
      <c r="C49" s="314"/>
      <c r="D49" s="314"/>
      <c r="E49" s="315"/>
      <c r="F49" s="314"/>
      <c r="G49" s="314"/>
      <c r="H49" s="314"/>
      <c r="I49" s="314"/>
      <c r="J49" s="314"/>
      <c r="K49" s="314"/>
      <c r="L49" s="314"/>
      <c r="M49" s="316"/>
      <c r="N49" s="317"/>
      <c r="O49" s="318">
        <f t="shared" si="4"/>
        <v>0</v>
      </c>
      <c r="P49" s="319"/>
      <c r="Q49" s="316"/>
      <c r="R49" s="317"/>
      <c r="S49" s="318">
        <f t="shared" si="5"/>
        <v>0</v>
      </c>
      <c r="T49" s="319"/>
      <c r="U49" s="320">
        <f t="shared" si="6"/>
        <v>0</v>
      </c>
      <c r="V49" s="321">
        <f t="shared" si="7"/>
        <v>0</v>
      </c>
      <c r="W49" s="322">
        <f t="shared" si="7"/>
        <v>0</v>
      </c>
      <c r="X49" s="323"/>
    </row>
    <row r="50" spans="1:24" ht="17.25" customHeight="1" thickBot="1" x14ac:dyDescent="0.25">
      <c r="A50" s="324"/>
      <c r="B50" s="325"/>
      <c r="C50" s="325"/>
      <c r="D50" s="325"/>
      <c r="E50" s="326"/>
      <c r="F50" s="325"/>
      <c r="G50" s="325"/>
      <c r="H50" s="325"/>
      <c r="I50" s="325"/>
      <c r="J50" s="325"/>
      <c r="K50" s="325"/>
      <c r="L50" s="325"/>
      <c r="M50" s="327"/>
      <c r="N50" s="328"/>
      <c r="O50" s="329">
        <f t="shared" si="4"/>
        <v>0</v>
      </c>
      <c r="P50" s="330"/>
      <c r="Q50" s="327"/>
      <c r="R50" s="328"/>
      <c r="S50" s="329">
        <f t="shared" si="5"/>
        <v>0</v>
      </c>
      <c r="T50" s="330"/>
      <c r="U50" s="331">
        <f t="shared" si="6"/>
        <v>0</v>
      </c>
      <c r="V50" s="332">
        <f t="shared" si="7"/>
        <v>0</v>
      </c>
      <c r="W50" s="333">
        <f t="shared" si="7"/>
        <v>0</v>
      </c>
      <c r="X50" s="334"/>
    </row>
    <row r="51" spans="1:24" ht="18" customHeight="1" thickBot="1" x14ac:dyDescent="0.25">
      <c r="A51" s="218"/>
      <c r="B51" s="218"/>
      <c r="C51" s="218"/>
      <c r="D51" s="218"/>
      <c r="E51" s="218"/>
      <c r="F51" s="218"/>
      <c r="G51" s="218"/>
      <c r="H51" s="218"/>
      <c r="I51" s="218"/>
      <c r="J51" s="218"/>
      <c r="K51" s="218"/>
      <c r="L51" s="218"/>
      <c r="M51" s="335">
        <f>SUM(M32:M50)</f>
        <v>1951356</v>
      </c>
      <c r="N51" s="336"/>
      <c r="O51" s="337">
        <f>SUM(O32:O50)</f>
        <v>0</v>
      </c>
      <c r="P51" s="338">
        <f>SUM(P32:P50)</f>
        <v>0</v>
      </c>
      <c r="Q51" s="335">
        <f>SUM(Q32:Q50)</f>
        <v>1697412.8640000001</v>
      </c>
      <c r="R51" s="336"/>
      <c r="S51" s="337">
        <f>SUM(S32:S50)</f>
        <v>0</v>
      </c>
      <c r="T51" s="339">
        <f>SUM(T32:T50)</f>
        <v>0</v>
      </c>
      <c r="U51" s="340">
        <f>SUM(U32:U50)</f>
        <v>-253943.136</v>
      </c>
      <c r="V51" s="337">
        <f>SUM(V32:V50)</f>
        <v>0</v>
      </c>
      <c r="W51" s="339">
        <f>SUM(W32:W50)</f>
        <v>0</v>
      </c>
      <c r="X51" s="341"/>
    </row>
  </sheetData>
  <mergeCells count="50">
    <mergeCell ref="M4:P4"/>
    <mergeCell ref="Q4:T4"/>
    <mergeCell ref="U4:X4"/>
    <mergeCell ref="A5:A6"/>
    <mergeCell ref="B5:B6"/>
    <mergeCell ref="C5:C6"/>
    <mergeCell ref="D5:D6"/>
    <mergeCell ref="E5:E6"/>
    <mergeCell ref="F5:F6"/>
    <mergeCell ref="G5:G6"/>
    <mergeCell ref="H5:H6"/>
    <mergeCell ref="I5:I6"/>
    <mergeCell ref="J5:L5"/>
    <mergeCell ref="M5:M6"/>
    <mergeCell ref="N5:N6"/>
    <mergeCell ref="V5:V6"/>
    <mergeCell ref="W5:W6"/>
    <mergeCell ref="X5:X6"/>
    <mergeCell ref="M29:P29"/>
    <mergeCell ref="Q29:T29"/>
    <mergeCell ref="U29:X29"/>
    <mergeCell ref="P5:P6"/>
    <mergeCell ref="Q5:Q6"/>
    <mergeCell ref="R5:R6"/>
    <mergeCell ref="S5:S6"/>
    <mergeCell ref="T5:T6"/>
    <mergeCell ref="U5:U6"/>
    <mergeCell ref="O5:O6"/>
    <mergeCell ref="N30:N31"/>
    <mergeCell ref="A30:A31"/>
    <mergeCell ref="B30:B31"/>
    <mergeCell ref="C30:C31"/>
    <mergeCell ref="D30:D31"/>
    <mergeCell ref="E30:E31"/>
    <mergeCell ref="F30:F31"/>
    <mergeCell ref="G30:G31"/>
    <mergeCell ref="H30:H31"/>
    <mergeCell ref="I30:I31"/>
    <mergeCell ref="J30:L30"/>
    <mergeCell ref="M30:M31"/>
    <mergeCell ref="U30:U31"/>
    <mergeCell ref="V30:V31"/>
    <mergeCell ref="W30:W31"/>
    <mergeCell ref="X30:X31"/>
    <mergeCell ref="O30:O31"/>
    <mergeCell ref="P30:P31"/>
    <mergeCell ref="Q30:Q31"/>
    <mergeCell ref="R30:R31"/>
    <mergeCell ref="S30:S31"/>
    <mergeCell ref="T30:T31"/>
  </mergeCells>
  <printOptions horizontalCentered="1"/>
  <pageMargins left="0.16" right="0.16" top="0.37" bottom="0.35" header="0.27" footer="0.3"/>
  <pageSetup paperSize="17"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zoomScaleNormal="100" workbookViewId="0">
      <selection activeCell="D30" sqref="D30"/>
    </sheetView>
  </sheetViews>
  <sheetFormatPr defaultRowHeight="12.75" x14ac:dyDescent="0.2"/>
  <cols>
    <col min="1" max="1" width="11.42578125" style="153" customWidth="1"/>
    <col min="2" max="2" width="9.28515625" style="153" customWidth="1"/>
    <col min="3" max="3" width="9.5703125" style="153" customWidth="1"/>
    <col min="4" max="4" width="16.42578125" style="153" customWidth="1"/>
    <col min="5" max="5" width="6.42578125" style="153" customWidth="1"/>
    <col min="6" max="6" width="9.7109375" style="153" customWidth="1"/>
    <col min="7" max="7" width="10.5703125" style="153" bestFit="1" customWidth="1"/>
    <col min="8" max="8" width="14.7109375" style="153" customWidth="1"/>
    <col min="9" max="9" width="5.85546875" style="153" customWidth="1"/>
    <col min="10" max="11" width="12" style="153" customWidth="1"/>
    <col min="12" max="12" width="8.140625" style="153" customWidth="1"/>
    <col min="13" max="13" width="9.5703125" style="293" customWidth="1"/>
    <col min="14" max="14" width="6" style="294" customWidth="1"/>
    <col min="15" max="15" width="9.28515625" style="293" customWidth="1"/>
    <col min="16" max="16" width="8.85546875" style="293" customWidth="1"/>
    <col min="17" max="17" width="15.42578125" style="294" bestFit="1" customWidth="1"/>
    <col min="18" max="18" width="5.85546875" style="293" customWidth="1"/>
    <col min="19" max="19" width="11" style="293" customWidth="1"/>
    <col min="20" max="20" width="8.7109375" style="293" customWidth="1"/>
    <col min="21" max="21" width="11.42578125" style="153" customWidth="1"/>
    <col min="22" max="22" width="9.140625" style="153"/>
    <col min="23" max="23" width="8.42578125" style="153" customWidth="1"/>
    <col min="24" max="24" width="20.42578125" style="153" customWidth="1"/>
    <col min="25" max="16384" width="9.140625" style="153"/>
  </cols>
  <sheetData>
    <row r="1" spans="1:24" ht="18" x14ac:dyDescent="0.25">
      <c r="A1" s="288" t="s">
        <v>753</v>
      </c>
      <c r="C1" s="197"/>
    </row>
    <row r="2" spans="1:24" ht="21.75" customHeight="1" x14ac:dyDescent="0.2">
      <c r="A2" s="292" t="s">
        <v>131</v>
      </c>
    </row>
    <row r="3" spans="1:24" ht="13.5" thickBot="1" x14ac:dyDescent="0.25"/>
    <row r="4" spans="1:24" s="344" customFormat="1" ht="57" customHeight="1" thickBot="1" x14ac:dyDescent="0.25">
      <c r="A4" s="295" t="s">
        <v>219</v>
      </c>
      <c r="B4" s="296"/>
      <c r="C4" s="296"/>
      <c r="D4" s="296"/>
      <c r="E4" s="296"/>
      <c r="F4" s="296"/>
      <c r="G4" s="296"/>
      <c r="H4" s="296"/>
      <c r="I4" s="296"/>
      <c r="J4" s="296"/>
      <c r="K4" s="296"/>
      <c r="L4" s="296"/>
      <c r="M4" s="882" t="s">
        <v>218</v>
      </c>
      <c r="N4" s="883"/>
      <c r="O4" s="883"/>
      <c r="P4" s="884"/>
      <c r="Q4" s="882" t="s">
        <v>198</v>
      </c>
      <c r="R4" s="883"/>
      <c r="S4" s="883"/>
      <c r="T4" s="884"/>
      <c r="U4" s="885" t="s">
        <v>199</v>
      </c>
      <c r="V4" s="886"/>
      <c r="W4" s="886"/>
      <c r="X4" s="887"/>
    </row>
    <row r="5" spans="1:24" s="298" customFormat="1" ht="27" customHeight="1" x14ac:dyDescent="0.2">
      <c r="A5" s="871" t="s">
        <v>176</v>
      </c>
      <c r="B5" s="873" t="s">
        <v>177</v>
      </c>
      <c r="C5" s="873" t="s">
        <v>178</v>
      </c>
      <c r="D5" s="873" t="s">
        <v>179</v>
      </c>
      <c r="E5" s="875" t="s">
        <v>180</v>
      </c>
      <c r="F5" s="873" t="s">
        <v>4</v>
      </c>
      <c r="G5" s="873" t="s">
        <v>200</v>
      </c>
      <c r="H5" s="873" t="s">
        <v>181</v>
      </c>
      <c r="I5" s="873" t="s">
        <v>182</v>
      </c>
      <c r="J5" s="877" t="s">
        <v>183</v>
      </c>
      <c r="K5" s="878"/>
      <c r="L5" s="879"/>
      <c r="M5" s="880" t="s">
        <v>184</v>
      </c>
      <c r="N5" s="869" t="s">
        <v>185</v>
      </c>
      <c r="O5" s="861" t="s">
        <v>186</v>
      </c>
      <c r="P5" s="863" t="s">
        <v>187</v>
      </c>
      <c r="Q5" s="865" t="s">
        <v>188</v>
      </c>
      <c r="R5" s="861" t="s">
        <v>185</v>
      </c>
      <c r="S5" s="867" t="s">
        <v>189</v>
      </c>
      <c r="T5" s="863" t="s">
        <v>187</v>
      </c>
      <c r="U5" s="855" t="s">
        <v>190</v>
      </c>
      <c r="V5" s="857" t="s">
        <v>191</v>
      </c>
      <c r="W5" s="857" t="s">
        <v>192</v>
      </c>
      <c r="X5" s="859" t="s">
        <v>193</v>
      </c>
    </row>
    <row r="6" spans="1:24" s="302" customFormat="1" ht="27" customHeight="1" thickBot="1" x14ac:dyDescent="0.25">
      <c r="A6" s="872"/>
      <c r="B6" s="874"/>
      <c r="C6" s="874"/>
      <c r="D6" s="874"/>
      <c r="E6" s="876"/>
      <c r="F6" s="874"/>
      <c r="G6" s="874"/>
      <c r="H6" s="874"/>
      <c r="I6" s="874"/>
      <c r="J6" s="299" t="s">
        <v>194</v>
      </c>
      <c r="K6" s="300" t="s">
        <v>195</v>
      </c>
      <c r="L6" s="301" t="s">
        <v>196</v>
      </c>
      <c r="M6" s="881"/>
      <c r="N6" s="870"/>
      <c r="O6" s="862"/>
      <c r="P6" s="864"/>
      <c r="Q6" s="866"/>
      <c r="R6" s="862"/>
      <c r="S6" s="868"/>
      <c r="T6" s="864"/>
      <c r="U6" s="856"/>
      <c r="V6" s="858"/>
      <c r="W6" s="858"/>
      <c r="X6" s="860"/>
    </row>
    <row r="7" spans="1:24" s="312" customFormat="1" ht="51" x14ac:dyDescent="0.2">
      <c r="A7" s="762" t="s">
        <v>783</v>
      </c>
      <c r="B7" s="765"/>
      <c r="C7" s="765" t="s">
        <v>453</v>
      </c>
      <c r="D7" s="769" t="s">
        <v>829</v>
      </c>
      <c r="E7" s="766" t="s">
        <v>664</v>
      </c>
      <c r="F7" s="765" t="s">
        <v>665</v>
      </c>
      <c r="G7" s="765">
        <v>2761</v>
      </c>
      <c r="H7" s="303"/>
      <c r="I7" s="303"/>
      <c r="J7" s="303"/>
      <c r="K7" s="303"/>
      <c r="L7" s="303"/>
      <c r="M7" s="304">
        <v>173220</v>
      </c>
      <c r="N7" s="305"/>
      <c r="O7" s="306">
        <f t="shared" ref="O7:O22" si="0">M7*N7</f>
        <v>0</v>
      </c>
      <c r="P7" s="345"/>
      <c r="Q7" s="791">
        <v>182777.4</v>
      </c>
      <c r="R7" s="305"/>
      <c r="S7" s="306">
        <f t="shared" ref="S7:S22" si="1">Q7*R7</f>
        <v>0</v>
      </c>
      <c r="T7" s="345"/>
      <c r="U7" s="308">
        <f t="shared" ref="U7:U22" si="2">Q7-M7</f>
        <v>9557.3999999999942</v>
      </c>
      <c r="V7" s="309">
        <f t="shared" ref="V7:W22" si="3">S7-O7</f>
        <v>0</v>
      </c>
      <c r="W7" s="346">
        <f t="shared" si="3"/>
        <v>0</v>
      </c>
      <c r="X7" s="311"/>
    </row>
    <row r="8" spans="1:24" ht="38.25" x14ac:dyDescent="0.2">
      <c r="A8" s="790" t="s">
        <v>784</v>
      </c>
      <c r="B8" s="806"/>
      <c r="C8" s="806" t="s">
        <v>453</v>
      </c>
      <c r="D8" s="807" t="s">
        <v>828</v>
      </c>
      <c r="E8" s="808" t="s">
        <v>664</v>
      </c>
      <c r="F8" s="806" t="s">
        <v>665</v>
      </c>
      <c r="G8" s="806">
        <v>2761</v>
      </c>
      <c r="H8" s="314"/>
      <c r="I8" s="314"/>
      <c r="J8" s="314"/>
      <c r="K8" s="314"/>
      <c r="L8" s="314"/>
      <c r="M8" s="316">
        <v>7617</v>
      </c>
      <c r="N8" s="317"/>
      <c r="O8" s="318">
        <f t="shared" si="0"/>
        <v>0</v>
      </c>
      <c r="P8" s="347"/>
      <c r="Q8" s="316">
        <v>0</v>
      </c>
      <c r="R8" s="317"/>
      <c r="S8" s="318">
        <f t="shared" si="1"/>
        <v>0</v>
      </c>
      <c r="T8" s="347"/>
      <c r="U8" s="320">
        <f t="shared" si="2"/>
        <v>-7617</v>
      </c>
      <c r="V8" s="321">
        <f t="shared" si="3"/>
        <v>0</v>
      </c>
      <c r="W8" s="348">
        <f t="shared" si="3"/>
        <v>0</v>
      </c>
      <c r="X8" s="323"/>
    </row>
    <row r="9" spans="1:24" ht="25.5" x14ac:dyDescent="0.2">
      <c r="A9" s="764" t="s">
        <v>785</v>
      </c>
      <c r="B9" s="765"/>
      <c r="C9" s="765" t="s">
        <v>453</v>
      </c>
      <c r="D9" s="773" t="s">
        <v>827</v>
      </c>
      <c r="E9" s="766" t="s">
        <v>664</v>
      </c>
      <c r="F9" s="765" t="s">
        <v>665</v>
      </c>
      <c r="G9" s="765">
        <v>2761</v>
      </c>
      <c r="H9" s="314"/>
      <c r="I9" s="314"/>
      <c r="J9" s="314"/>
      <c r="K9" s="314"/>
      <c r="L9" s="314"/>
      <c r="M9" s="805">
        <v>3000</v>
      </c>
      <c r="N9" s="317"/>
      <c r="O9" s="318">
        <f t="shared" si="0"/>
        <v>0</v>
      </c>
      <c r="P9" s="347"/>
      <c r="Q9" s="316">
        <v>3000</v>
      </c>
      <c r="R9" s="317"/>
      <c r="S9" s="318">
        <f t="shared" si="1"/>
        <v>0</v>
      </c>
      <c r="T9" s="347"/>
      <c r="U9" s="320">
        <f t="shared" si="2"/>
        <v>0</v>
      </c>
      <c r="V9" s="321">
        <f t="shared" si="3"/>
        <v>0</v>
      </c>
      <c r="W9" s="348">
        <f t="shared" si="3"/>
        <v>0</v>
      </c>
      <c r="X9" s="323"/>
    </row>
    <row r="10" spans="1:24" s="197" customFormat="1" ht="38.25" x14ac:dyDescent="0.2">
      <c r="A10" s="313" t="s">
        <v>843</v>
      </c>
      <c r="B10" s="314"/>
      <c r="C10" s="314" t="s">
        <v>453</v>
      </c>
      <c r="D10" s="804" t="s">
        <v>845</v>
      </c>
      <c r="E10" s="766" t="s">
        <v>664</v>
      </c>
      <c r="F10" s="765" t="s">
        <v>665</v>
      </c>
      <c r="G10" s="765">
        <v>2761</v>
      </c>
      <c r="H10" s="314"/>
      <c r="I10" s="314"/>
      <c r="J10" s="314"/>
      <c r="K10" s="314"/>
      <c r="L10" s="314"/>
      <c r="M10" s="316"/>
      <c r="N10" s="317"/>
      <c r="O10" s="318">
        <f t="shared" si="0"/>
        <v>0</v>
      </c>
      <c r="P10" s="347"/>
      <c r="Q10" s="316">
        <v>25000</v>
      </c>
      <c r="R10" s="317"/>
      <c r="S10" s="318">
        <f t="shared" si="1"/>
        <v>0</v>
      </c>
      <c r="T10" s="347"/>
      <c r="U10" s="320">
        <f t="shared" si="2"/>
        <v>25000</v>
      </c>
      <c r="V10" s="321">
        <f t="shared" si="3"/>
        <v>0</v>
      </c>
      <c r="W10" s="348">
        <f t="shared" si="3"/>
        <v>0</v>
      </c>
      <c r="X10" s="323"/>
    </row>
    <row r="11" spans="1:24" ht="17.25" customHeight="1" x14ac:dyDescent="0.2">
      <c r="A11" s="313"/>
      <c r="B11" s="314"/>
      <c r="C11" s="314"/>
      <c r="D11" s="314"/>
      <c r="E11" s="315"/>
      <c r="F11" s="314"/>
      <c r="G11" s="314"/>
      <c r="H11" s="314"/>
      <c r="I11" s="314"/>
      <c r="J11" s="314"/>
      <c r="K11" s="314"/>
      <c r="L11" s="314"/>
      <c r="M11" s="316"/>
      <c r="N11" s="317"/>
      <c r="O11" s="318">
        <f t="shared" si="0"/>
        <v>0</v>
      </c>
      <c r="P11" s="347"/>
      <c r="Q11" s="316"/>
      <c r="R11" s="317"/>
      <c r="S11" s="318">
        <f t="shared" si="1"/>
        <v>0</v>
      </c>
      <c r="T11" s="347"/>
      <c r="U11" s="320">
        <f t="shared" si="2"/>
        <v>0</v>
      </c>
      <c r="V11" s="321">
        <f t="shared" si="3"/>
        <v>0</v>
      </c>
      <c r="W11" s="348">
        <f t="shared" si="3"/>
        <v>0</v>
      </c>
      <c r="X11" s="323"/>
    </row>
    <row r="12" spans="1:24" ht="17.25" customHeight="1" x14ac:dyDescent="0.2">
      <c r="A12" s="313"/>
      <c r="B12" s="314"/>
      <c r="C12" s="314"/>
      <c r="D12" s="314"/>
      <c r="E12" s="315"/>
      <c r="F12" s="314"/>
      <c r="G12" s="314"/>
      <c r="H12" s="314"/>
      <c r="I12" s="314"/>
      <c r="J12" s="314"/>
      <c r="K12" s="314"/>
      <c r="L12" s="314"/>
      <c r="M12" s="316"/>
      <c r="N12" s="317"/>
      <c r="O12" s="318">
        <f t="shared" si="0"/>
        <v>0</v>
      </c>
      <c r="P12" s="347"/>
      <c r="Q12" s="316"/>
      <c r="R12" s="317"/>
      <c r="S12" s="318">
        <f t="shared" si="1"/>
        <v>0</v>
      </c>
      <c r="T12" s="347"/>
      <c r="U12" s="320">
        <f t="shared" si="2"/>
        <v>0</v>
      </c>
      <c r="V12" s="321">
        <f t="shared" si="3"/>
        <v>0</v>
      </c>
      <c r="W12" s="348">
        <f t="shared" si="3"/>
        <v>0</v>
      </c>
      <c r="X12" s="323"/>
    </row>
    <row r="13" spans="1:24" ht="17.25" customHeight="1" x14ac:dyDescent="0.2">
      <c r="A13" s="313"/>
      <c r="B13" s="314"/>
      <c r="C13" s="314"/>
      <c r="D13" s="314"/>
      <c r="E13" s="315"/>
      <c r="F13" s="314"/>
      <c r="G13" s="314"/>
      <c r="H13" s="314"/>
      <c r="I13" s="314"/>
      <c r="J13" s="314"/>
      <c r="K13" s="314"/>
      <c r="L13" s="314"/>
      <c r="M13" s="316"/>
      <c r="N13" s="317"/>
      <c r="O13" s="318">
        <f t="shared" si="0"/>
        <v>0</v>
      </c>
      <c r="P13" s="347"/>
      <c r="Q13" s="316"/>
      <c r="R13" s="317"/>
      <c r="S13" s="318">
        <f t="shared" si="1"/>
        <v>0</v>
      </c>
      <c r="T13" s="347"/>
      <c r="U13" s="320">
        <f t="shared" si="2"/>
        <v>0</v>
      </c>
      <c r="V13" s="321">
        <f t="shared" si="3"/>
        <v>0</v>
      </c>
      <c r="W13" s="348">
        <f t="shared" si="3"/>
        <v>0</v>
      </c>
      <c r="X13" s="323"/>
    </row>
    <row r="14" spans="1:24" ht="17.25" customHeight="1" x14ac:dyDescent="0.2">
      <c r="A14" s="313"/>
      <c r="B14" s="314"/>
      <c r="C14" s="314"/>
      <c r="D14" s="314"/>
      <c r="E14" s="315"/>
      <c r="F14" s="314"/>
      <c r="G14" s="314"/>
      <c r="H14" s="314"/>
      <c r="I14" s="314"/>
      <c r="J14" s="314"/>
      <c r="K14" s="314"/>
      <c r="L14" s="314"/>
      <c r="M14" s="316"/>
      <c r="N14" s="317"/>
      <c r="O14" s="318">
        <f t="shared" si="0"/>
        <v>0</v>
      </c>
      <c r="P14" s="347"/>
      <c r="Q14" s="316"/>
      <c r="R14" s="317"/>
      <c r="S14" s="318">
        <f t="shared" si="1"/>
        <v>0</v>
      </c>
      <c r="T14" s="347"/>
      <c r="U14" s="320">
        <f t="shared" si="2"/>
        <v>0</v>
      </c>
      <c r="V14" s="321">
        <f t="shared" si="3"/>
        <v>0</v>
      </c>
      <c r="W14" s="348">
        <f t="shared" si="3"/>
        <v>0</v>
      </c>
      <c r="X14" s="323"/>
    </row>
    <row r="15" spans="1:24" ht="17.25" customHeight="1" x14ac:dyDescent="0.2">
      <c r="A15" s="313"/>
      <c r="B15" s="314"/>
      <c r="C15" s="314"/>
      <c r="D15" s="314"/>
      <c r="E15" s="315"/>
      <c r="F15" s="314"/>
      <c r="G15" s="314"/>
      <c r="H15" s="314"/>
      <c r="I15" s="314"/>
      <c r="J15" s="314"/>
      <c r="K15" s="314"/>
      <c r="L15" s="314"/>
      <c r="M15" s="316"/>
      <c r="N15" s="317"/>
      <c r="O15" s="318">
        <f t="shared" si="0"/>
        <v>0</v>
      </c>
      <c r="P15" s="347"/>
      <c r="Q15" s="316"/>
      <c r="R15" s="317"/>
      <c r="S15" s="318">
        <f t="shared" si="1"/>
        <v>0</v>
      </c>
      <c r="T15" s="347"/>
      <c r="U15" s="320">
        <f t="shared" si="2"/>
        <v>0</v>
      </c>
      <c r="V15" s="321">
        <f t="shared" si="3"/>
        <v>0</v>
      </c>
      <c r="W15" s="348">
        <f t="shared" si="3"/>
        <v>0</v>
      </c>
      <c r="X15" s="323"/>
    </row>
    <row r="16" spans="1:24" ht="17.25" customHeight="1" x14ac:dyDescent="0.2">
      <c r="A16" s="313"/>
      <c r="B16" s="314"/>
      <c r="C16" s="314"/>
      <c r="D16" s="314"/>
      <c r="E16" s="315"/>
      <c r="F16" s="314"/>
      <c r="G16" s="314"/>
      <c r="H16" s="314"/>
      <c r="I16" s="314"/>
      <c r="J16" s="314"/>
      <c r="K16" s="314"/>
      <c r="L16" s="314"/>
      <c r="M16" s="316"/>
      <c r="N16" s="317"/>
      <c r="O16" s="318">
        <f t="shared" si="0"/>
        <v>0</v>
      </c>
      <c r="P16" s="347"/>
      <c r="Q16" s="316"/>
      <c r="R16" s="317"/>
      <c r="S16" s="318">
        <f t="shared" si="1"/>
        <v>0</v>
      </c>
      <c r="T16" s="347"/>
      <c r="U16" s="320">
        <f t="shared" si="2"/>
        <v>0</v>
      </c>
      <c r="V16" s="321">
        <f t="shared" si="3"/>
        <v>0</v>
      </c>
      <c r="W16" s="348">
        <f t="shared" si="3"/>
        <v>0</v>
      </c>
      <c r="X16" s="323"/>
    </row>
    <row r="17" spans="1:24" ht="17.25" customHeight="1" x14ac:dyDescent="0.2">
      <c r="A17" s="313"/>
      <c r="B17" s="314"/>
      <c r="C17" s="314"/>
      <c r="D17" s="314"/>
      <c r="E17" s="315"/>
      <c r="F17" s="314"/>
      <c r="G17" s="314"/>
      <c r="H17" s="314"/>
      <c r="I17" s="314"/>
      <c r="J17" s="314"/>
      <c r="K17" s="314"/>
      <c r="L17" s="314"/>
      <c r="M17" s="316"/>
      <c r="N17" s="317"/>
      <c r="O17" s="318">
        <f t="shared" si="0"/>
        <v>0</v>
      </c>
      <c r="P17" s="347"/>
      <c r="Q17" s="316"/>
      <c r="R17" s="317"/>
      <c r="S17" s="318">
        <f t="shared" si="1"/>
        <v>0</v>
      </c>
      <c r="T17" s="347"/>
      <c r="U17" s="320">
        <f t="shared" si="2"/>
        <v>0</v>
      </c>
      <c r="V17" s="321">
        <f t="shared" si="3"/>
        <v>0</v>
      </c>
      <c r="W17" s="348">
        <f t="shared" si="3"/>
        <v>0</v>
      </c>
      <c r="X17" s="323"/>
    </row>
    <row r="18" spans="1:24" ht="17.25" customHeight="1" x14ac:dyDescent="0.2">
      <c r="A18" s="313"/>
      <c r="B18" s="314"/>
      <c r="C18" s="314"/>
      <c r="D18" s="314"/>
      <c r="E18" s="315"/>
      <c r="F18" s="314"/>
      <c r="G18" s="314"/>
      <c r="H18" s="314"/>
      <c r="I18" s="314"/>
      <c r="J18" s="314"/>
      <c r="K18" s="314"/>
      <c r="L18" s="314"/>
      <c r="M18" s="316"/>
      <c r="N18" s="317"/>
      <c r="O18" s="318">
        <f t="shared" si="0"/>
        <v>0</v>
      </c>
      <c r="P18" s="347"/>
      <c r="Q18" s="316"/>
      <c r="R18" s="317"/>
      <c r="S18" s="318">
        <f t="shared" si="1"/>
        <v>0</v>
      </c>
      <c r="T18" s="347"/>
      <c r="U18" s="320">
        <f t="shared" si="2"/>
        <v>0</v>
      </c>
      <c r="V18" s="321">
        <f t="shared" si="3"/>
        <v>0</v>
      </c>
      <c r="W18" s="348">
        <f t="shared" si="3"/>
        <v>0</v>
      </c>
      <c r="X18" s="323"/>
    </row>
    <row r="19" spans="1:24" ht="17.25" customHeight="1" x14ac:dyDescent="0.2">
      <c r="A19" s="313"/>
      <c r="B19" s="314"/>
      <c r="C19" s="314"/>
      <c r="D19" s="314"/>
      <c r="E19" s="315"/>
      <c r="F19" s="314"/>
      <c r="G19" s="314"/>
      <c r="H19" s="314"/>
      <c r="I19" s="314"/>
      <c r="J19" s="314"/>
      <c r="K19" s="314"/>
      <c r="L19" s="314"/>
      <c r="M19" s="316"/>
      <c r="N19" s="317"/>
      <c r="O19" s="318">
        <f t="shared" si="0"/>
        <v>0</v>
      </c>
      <c r="P19" s="347"/>
      <c r="Q19" s="316"/>
      <c r="R19" s="317"/>
      <c r="S19" s="318">
        <f t="shared" si="1"/>
        <v>0</v>
      </c>
      <c r="T19" s="347"/>
      <c r="U19" s="320">
        <f t="shared" si="2"/>
        <v>0</v>
      </c>
      <c r="V19" s="321">
        <f t="shared" si="3"/>
        <v>0</v>
      </c>
      <c r="W19" s="348">
        <f t="shared" si="3"/>
        <v>0</v>
      </c>
      <c r="X19" s="323"/>
    </row>
    <row r="20" spans="1:24" ht="17.25" customHeight="1" x14ac:dyDescent="0.2">
      <c r="A20" s="313"/>
      <c r="B20" s="314"/>
      <c r="C20" s="314"/>
      <c r="D20" s="314"/>
      <c r="E20" s="315"/>
      <c r="F20" s="314"/>
      <c r="G20" s="314"/>
      <c r="H20" s="314"/>
      <c r="I20" s="314"/>
      <c r="J20" s="314"/>
      <c r="K20" s="314"/>
      <c r="L20" s="314"/>
      <c r="M20" s="316"/>
      <c r="N20" s="317"/>
      <c r="O20" s="318">
        <f t="shared" si="0"/>
        <v>0</v>
      </c>
      <c r="P20" s="347"/>
      <c r="Q20" s="316"/>
      <c r="R20" s="317"/>
      <c r="S20" s="318">
        <f t="shared" si="1"/>
        <v>0</v>
      </c>
      <c r="T20" s="347"/>
      <c r="U20" s="320">
        <f t="shared" si="2"/>
        <v>0</v>
      </c>
      <c r="V20" s="321">
        <f t="shared" si="3"/>
        <v>0</v>
      </c>
      <c r="W20" s="348">
        <f t="shared" si="3"/>
        <v>0</v>
      </c>
      <c r="X20" s="323"/>
    </row>
    <row r="21" spans="1:24" ht="17.25" customHeight="1" x14ac:dyDescent="0.2">
      <c r="A21" s="313"/>
      <c r="B21" s="314"/>
      <c r="C21" s="314"/>
      <c r="D21" s="314"/>
      <c r="E21" s="315"/>
      <c r="F21" s="314"/>
      <c r="G21" s="314"/>
      <c r="H21" s="314"/>
      <c r="I21" s="314"/>
      <c r="J21" s="314"/>
      <c r="K21" s="314"/>
      <c r="L21" s="314"/>
      <c r="M21" s="316"/>
      <c r="N21" s="317"/>
      <c r="O21" s="318">
        <f t="shared" si="0"/>
        <v>0</v>
      </c>
      <c r="P21" s="347"/>
      <c r="Q21" s="316"/>
      <c r="R21" s="317"/>
      <c r="S21" s="318">
        <f t="shared" si="1"/>
        <v>0</v>
      </c>
      <c r="T21" s="347"/>
      <c r="U21" s="320">
        <f t="shared" si="2"/>
        <v>0</v>
      </c>
      <c r="V21" s="321">
        <f t="shared" si="3"/>
        <v>0</v>
      </c>
      <c r="W21" s="348">
        <f t="shared" si="3"/>
        <v>0</v>
      </c>
      <c r="X21" s="323"/>
    </row>
    <row r="22" spans="1:24" ht="17.25" customHeight="1" thickBot="1" x14ac:dyDescent="0.25">
      <c r="A22" s="324"/>
      <c r="B22" s="325"/>
      <c r="C22" s="325"/>
      <c r="D22" s="325"/>
      <c r="E22" s="326"/>
      <c r="F22" s="325"/>
      <c r="G22" s="325"/>
      <c r="H22" s="325"/>
      <c r="I22" s="325"/>
      <c r="J22" s="325"/>
      <c r="K22" s="325"/>
      <c r="L22" s="325"/>
      <c r="M22" s="327"/>
      <c r="N22" s="328"/>
      <c r="O22" s="329">
        <f t="shared" si="0"/>
        <v>0</v>
      </c>
      <c r="P22" s="349"/>
      <c r="Q22" s="327"/>
      <c r="R22" s="328"/>
      <c r="S22" s="329">
        <f t="shared" si="1"/>
        <v>0</v>
      </c>
      <c r="T22" s="349"/>
      <c r="U22" s="331">
        <f t="shared" si="2"/>
        <v>0</v>
      </c>
      <c r="V22" s="332">
        <f t="shared" si="3"/>
        <v>0</v>
      </c>
      <c r="W22" s="350">
        <f t="shared" si="3"/>
        <v>0</v>
      </c>
      <c r="X22" s="334"/>
    </row>
    <row r="23" spans="1:24" ht="17.25" customHeight="1" thickBot="1" x14ac:dyDescent="0.25">
      <c r="A23" s="218"/>
      <c r="B23" s="218"/>
      <c r="C23" s="218"/>
      <c r="D23" s="218"/>
      <c r="E23" s="218"/>
      <c r="F23" s="218"/>
      <c r="G23" s="218"/>
      <c r="H23" s="218"/>
      <c r="I23" s="218"/>
      <c r="J23" s="218"/>
      <c r="K23" s="218"/>
      <c r="L23" s="218"/>
      <c r="M23" s="335">
        <f>SUM(M7:M22)</f>
        <v>183837</v>
      </c>
      <c r="N23" s="336"/>
      <c r="O23" s="337">
        <f>SUM(O7:O22)</f>
        <v>0</v>
      </c>
      <c r="P23" s="337">
        <f>SUM(P7:P22)</f>
        <v>0</v>
      </c>
      <c r="Q23" s="335">
        <f>SUM(Q7:Q22)</f>
        <v>210777.4</v>
      </c>
      <c r="R23" s="336"/>
      <c r="S23" s="337">
        <f>SUM(S7:S22)</f>
        <v>0</v>
      </c>
      <c r="T23" s="351">
        <f>SUM(T7:T22)</f>
        <v>0</v>
      </c>
      <c r="U23" s="340">
        <f>SUM(U7:U22)</f>
        <v>26940.399999999994</v>
      </c>
      <c r="V23" s="337">
        <f>SUM(V7:V22)</f>
        <v>0</v>
      </c>
      <c r="W23" s="352">
        <f>SUM(W7:W22)</f>
        <v>0</v>
      </c>
      <c r="X23" s="341"/>
    </row>
    <row r="24" spans="1:24" ht="24.75" customHeight="1" thickBot="1" x14ac:dyDescent="0.25"/>
    <row r="25" spans="1:24" s="344" customFormat="1" ht="57" customHeight="1" thickBot="1" x14ac:dyDescent="0.25">
      <c r="A25" s="295" t="s">
        <v>754</v>
      </c>
      <c r="B25" s="296"/>
      <c r="C25" s="296"/>
      <c r="D25" s="296"/>
      <c r="E25" s="296"/>
      <c r="F25" s="296"/>
      <c r="G25" s="296"/>
      <c r="H25" s="296"/>
      <c r="I25" s="296"/>
      <c r="J25" s="296"/>
      <c r="K25" s="296"/>
      <c r="L25" s="296"/>
      <c r="M25" s="882" t="s">
        <v>198</v>
      </c>
      <c r="N25" s="883"/>
      <c r="O25" s="883"/>
      <c r="P25" s="884"/>
      <c r="Q25" s="882" t="s">
        <v>755</v>
      </c>
      <c r="R25" s="883"/>
      <c r="S25" s="883"/>
      <c r="T25" s="884"/>
      <c r="U25" s="885" t="s">
        <v>199</v>
      </c>
      <c r="V25" s="886"/>
      <c r="W25" s="886"/>
      <c r="X25" s="887"/>
    </row>
    <row r="26" spans="1:24" s="353" customFormat="1" ht="27" customHeight="1" x14ac:dyDescent="0.2">
      <c r="A26" s="905" t="s">
        <v>176</v>
      </c>
      <c r="B26" s="907" t="s">
        <v>177</v>
      </c>
      <c r="C26" s="907" t="s">
        <v>178</v>
      </c>
      <c r="D26" s="907" t="s">
        <v>179</v>
      </c>
      <c r="E26" s="909" t="s">
        <v>180</v>
      </c>
      <c r="F26" s="907" t="s">
        <v>4</v>
      </c>
      <c r="G26" s="907" t="s">
        <v>200</v>
      </c>
      <c r="H26" s="907" t="s">
        <v>181</v>
      </c>
      <c r="I26" s="907" t="s">
        <v>182</v>
      </c>
      <c r="J26" s="911" t="s">
        <v>183</v>
      </c>
      <c r="K26" s="912"/>
      <c r="L26" s="913"/>
      <c r="M26" s="914" t="s">
        <v>184</v>
      </c>
      <c r="N26" s="903" t="s">
        <v>185</v>
      </c>
      <c r="O26" s="895" t="s">
        <v>186</v>
      </c>
      <c r="P26" s="897" t="s">
        <v>187</v>
      </c>
      <c r="Q26" s="899" t="s">
        <v>188</v>
      </c>
      <c r="R26" s="895" t="s">
        <v>185</v>
      </c>
      <c r="S26" s="901" t="s">
        <v>189</v>
      </c>
      <c r="T26" s="897" t="s">
        <v>187</v>
      </c>
      <c r="U26" s="889" t="s">
        <v>190</v>
      </c>
      <c r="V26" s="891" t="s">
        <v>191</v>
      </c>
      <c r="W26" s="891" t="s">
        <v>192</v>
      </c>
      <c r="X26" s="893" t="s">
        <v>193</v>
      </c>
    </row>
    <row r="27" spans="1:24" s="357" customFormat="1" ht="27" customHeight="1" thickBot="1" x14ac:dyDescent="0.25">
      <c r="A27" s="906"/>
      <c r="B27" s="908"/>
      <c r="C27" s="908"/>
      <c r="D27" s="908"/>
      <c r="E27" s="910"/>
      <c r="F27" s="908"/>
      <c r="G27" s="908"/>
      <c r="H27" s="908"/>
      <c r="I27" s="908"/>
      <c r="J27" s="354" t="s">
        <v>194</v>
      </c>
      <c r="K27" s="355" t="s">
        <v>195</v>
      </c>
      <c r="L27" s="356" t="s">
        <v>196</v>
      </c>
      <c r="M27" s="915"/>
      <c r="N27" s="904"/>
      <c r="O27" s="896"/>
      <c r="P27" s="898"/>
      <c r="Q27" s="900"/>
      <c r="R27" s="896"/>
      <c r="S27" s="902"/>
      <c r="T27" s="898"/>
      <c r="U27" s="890"/>
      <c r="V27" s="892"/>
      <c r="W27" s="892"/>
      <c r="X27" s="894"/>
    </row>
    <row r="28" spans="1:24" s="312" customFormat="1" ht="51" x14ac:dyDescent="0.2">
      <c r="A28" s="762" t="s">
        <v>783</v>
      </c>
      <c r="B28" s="765"/>
      <c r="C28" s="765" t="s">
        <v>453</v>
      </c>
      <c r="D28" s="769" t="s">
        <v>829</v>
      </c>
      <c r="E28" s="766" t="s">
        <v>664</v>
      </c>
      <c r="F28" s="765" t="s">
        <v>665</v>
      </c>
      <c r="G28" s="765">
        <v>2761</v>
      </c>
      <c r="H28" s="303"/>
      <c r="I28" s="303"/>
      <c r="J28" s="303"/>
      <c r="K28" s="303"/>
      <c r="L28" s="303"/>
      <c r="M28" s="304">
        <v>182777.4</v>
      </c>
      <c r="N28" s="305"/>
      <c r="O28" s="306">
        <f t="shared" ref="O28:O42" si="4">M28*N28</f>
        <v>0</v>
      </c>
      <c r="P28" s="345"/>
      <c r="Q28" s="304">
        <v>195571.8</v>
      </c>
      <c r="R28" s="305"/>
      <c r="S28" s="306">
        <f t="shared" ref="S28:S42" si="5">Q28*R28</f>
        <v>0</v>
      </c>
      <c r="T28" s="345"/>
      <c r="U28" s="308">
        <f t="shared" ref="U28:U42" si="6">Q28-M28</f>
        <v>12794.399999999994</v>
      </c>
      <c r="V28" s="309">
        <f t="shared" ref="V28:W42" si="7">S28-O28</f>
        <v>0</v>
      </c>
      <c r="W28" s="358">
        <f t="shared" si="7"/>
        <v>0</v>
      </c>
      <c r="X28" s="311"/>
    </row>
    <row r="29" spans="1:24" ht="25.5" x14ac:dyDescent="0.2">
      <c r="A29" s="764" t="s">
        <v>785</v>
      </c>
      <c r="B29" s="765"/>
      <c r="C29" s="765" t="s">
        <v>453</v>
      </c>
      <c r="D29" s="773" t="s">
        <v>827</v>
      </c>
      <c r="E29" s="766" t="s">
        <v>664</v>
      </c>
      <c r="F29" s="765" t="s">
        <v>665</v>
      </c>
      <c r="G29" s="765">
        <v>2761</v>
      </c>
      <c r="H29" s="314"/>
      <c r="I29" s="314"/>
      <c r="J29" s="314"/>
      <c r="K29" s="314"/>
      <c r="L29" s="314"/>
      <c r="M29" s="316">
        <v>3000</v>
      </c>
      <c r="N29" s="317"/>
      <c r="O29" s="318">
        <f t="shared" si="4"/>
        <v>0</v>
      </c>
      <c r="P29" s="347"/>
      <c r="Q29" s="316">
        <v>3000</v>
      </c>
      <c r="R29" s="317"/>
      <c r="S29" s="318">
        <f t="shared" si="5"/>
        <v>0</v>
      </c>
      <c r="T29" s="347"/>
      <c r="U29" s="320">
        <f t="shared" si="6"/>
        <v>0</v>
      </c>
      <c r="V29" s="321">
        <f t="shared" si="7"/>
        <v>0</v>
      </c>
      <c r="W29" s="359">
        <f t="shared" si="7"/>
        <v>0</v>
      </c>
      <c r="X29" s="323"/>
    </row>
    <row r="30" spans="1:24" s="197" customFormat="1" ht="38.25" x14ac:dyDescent="0.2">
      <c r="A30" s="313" t="s">
        <v>843</v>
      </c>
      <c r="B30" s="314"/>
      <c r="C30" s="314" t="s">
        <v>453</v>
      </c>
      <c r="D30" s="804" t="s">
        <v>845</v>
      </c>
      <c r="E30" s="766" t="s">
        <v>664</v>
      </c>
      <c r="F30" s="765" t="s">
        <v>665</v>
      </c>
      <c r="G30" s="765">
        <v>2761</v>
      </c>
      <c r="H30" s="314"/>
      <c r="I30" s="314"/>
      <c r="J30" s="314"/>
      <c r="K30" s="314"/>
      <c r="L30" s="314"/>
      <c r="M30" s="316">
        <v>25000</v>
      </c>
      <c r="N30" s="317"/>
      <c r="O30" s="318">
        <f t="shared" si="4"/>
        <v>0</v>
      </c>
      <c r="P30" s="347"/>
      <c r="Q30" s="316">
        <v>25000</v>
      </c>
      <c r="R30" s="317"/>
      <c r="S30" s="318">
        <f t="shared" si="5"/>
        <v>0</v>
      </c>
      <c r="T30" s="347"/>
      <c r="U30" s="320">
        <f t="shared" si="6"/>
        <v>0</v>
      </c>
      <c r="V30" s="321">
        <f t="shared" si="7"/>
        <v>0</v>
      </c>
      <c r="W30" s="359">
        <f t="shared" si="7"/>
        <v>0</v>
      </c>
      <c r="X30" s="323"/>
    </row>
    <row r="31" spans="1:24" ht="17.25" customHeight="1" x14ac:dyDescent="0.2">
      <c r="A31" s="313"/>
      <c r="B31" s="314"/>
      <c r="C31" s="314"/>
      <c r="D31" s="314"/>
      <c r="E31" s="315"/>
      <c r="F31" s="314"/>
      <c r="G31" s="314"/>
      <c r="H31" s="314"/>
      <c r="I31" s="314"/>
      <c r="J31" s="314"/>
      <c r="K31" s="314"/>
      <c r="L31" s="314"/>
      <c r="M31" s="316"/>
      <c r="N31" s="317"/>
      <c r="O31" s="318">
        <f t="shared" si="4"/>
        <v>0</v>
      </c>
      <c r="P31" s="347"/>
      <c r="Q31" s="316"/>
      <c r="R31" s="317"/>
      <c r="S31" s="318">
        <f t="shared" si="5"/>
        <v>0</v>
      </c>
      <c r="T31" s="347"/>
      <c r="U31" s="320">
        <f t="shared" si="6"/>
        <v>0</v>
      </c>
      <c r="V31" s="321">
        <f t="shared" si="7"/>
        <v>0</v>
      </c>
      <c r="W31" s="359">
        <f t="shared" si="7"/>
        <v>0</v>
      </c>
      <c r="X31" s="323"/>
    </row>
    <row r="32" spans="1:24" ht="17.25" customHeight="1" x14ac:dyDescent="0.2">
      <c r="A32" s="313"/>
      <c r="B32" s="314"/>
      <c r="C32" s="314"/>
      <c r="D32" s="314"/>
      <c r="E32" s="315"/>
      <c r="F32" s="314"/>
      <c r="G32" s="314"/>
      <c r="H32" s="314"/>
      <c r="I32" s="314"/>
      <c r="J32" s="314"/>
      <c r="K32" s="314"/>
      <c r="L32" s="314"/>
      <c r="M32" s="316"/>
      <c r="N32" s="317"/>
      <c r="O32" s="318">
        <f t="shared" si="4"/>
        <v>0</v>
      </c>
      <c r="P32" s="347"/>
      <c r="Q32" s="316"/>
      <c r="R32" s="317"/>
      <c r="S32" s="318">
        <f t="shared" si="5"/>
        <v>0</v>
      </c>
      <c r="T32" s="347"/>
      <c r="U32" s="320">
        <f t="shared" si="6"/>
        <v>0</v>
      </c>
      <c r="V32" s="321">
        <f t="shared" si="7"/>
        <v>0</v>
      </c>
      <c r="W32" s="359">
        <f t="shared" si="7"/>
        <v>0</v>
      </c>
      <c r="X32" s="323"/>
    </row>
    <row r="33" spans="1:24" ht="17.25" customHeight="1" x14ac:dyDescent="0.2">
      <c r="A33" s="313"/>
      <c r="B33" s="314"/>
      <c r="C33" s="314"/>
      <c r="D33" s="314"/>
      <c r="E33" s="315"/>
      <c r="F33" s="314"/>
      <c r="G33" s="314"/>
      <c r="H33" s="314"/>
      <c r="I33" s="314"/>
      <c r="J33" s="314"/>
      <c r="K33" s="314"/>
      <c r="L33" s="314"/>
      <c r="M33" s="316"/>
      <c r="N33" s="317"/>
      <c r="O33" s="318">
        <f t="shared" si="4"/>
        <v>0</v>
      </c>
      <c r="P33" s="347"/>
      <c r="Q33" s="316"/>
      <c r="R33" s="317"/>
      <c r="S33" s="318">
        <f t="shared" si="5"/>
        <v>0</v>
      </c>
      <c r="T33" s="347"/>
      <c r="U33" s="320">
        <f t="shared" si="6"/>
        <v>0</v>
      </c>
      <c r="V33" s="321">
        <f t="shared" si="7"/>
        <v>0</v>
      </c>
      <c r="W33" s="359">
        <f t="shared" si="7"/>
        <v>0</v>
      </c>
      <c r="X33" s="323"/>
    </row>
    <row r="34" spans="1:24" ht="17.25" customHeight="1" x14ac:dyDescent="0.2">
      <c r="A34" s="313"/>
      <c r="B34" s="314"/>
      <c r="C34" s="314"/>
      <c r="D34" s="314"/>
      <c r="E34" s="315"/>
      <c r="F34" s="314"/>
      <c r="G34" s="314"/>
      <c r="H34" s="314"/>
      <c r="I34" s="314"/>
      <c r="J34" s="314"/>
      <c r="K34" s="314"/>
      <c r="L34" s="314"/>
      <c r="M34" s="316"/>
      <c r="N34" s="317"/>
      <c r="O34" s="318">
        <f t="shared" si="4"/>
        <v>0</v>
      </c>
      <c r="P34" s="347"/>
      <c r="Q34" s="316"/>
      <c r="R34" s="317"/>
      <c r="S34" s="318">
        <f t="shared" si="5"/>
        <v>0</v>
      </c>
      <c r="T34" s="347"/>
      <c r="U34" s="320">
        <f t="shared" si="6"/>
        <v>0</v>
      </c>
      <c r="V34" s="321">
        <f t="shared" si="7"/>
        <v>0</v>
      </c>
      <c r="W34" s="359">
        <f t="shared" si="7"/>
        <v>0</v>
      </c>
      <c r="X34" s="323"/>
    </row>
    <row r="35" spans="1:24" ht="17.25" customHeight="1" x14ac:dyDescent="0.2">
      <c r="A35" s="313"/>
      <c r="B35" s="314"/>
      <c r="C35" s="314"/>
      <c r="D35" s="314"/>
      <c r="E35" s="315"/>
      <c r="F35" s="314"/>
      <c r="G35" s="314"/>
      <c r="H35" s="314"/>
      <c r="I35" s="314"/>
      <c r="J35" s="314"/>
      <c r="K35" s="314"/>
      <c r="L35" s="314"/>
      <c r="M35" s="316"/>
      <c r="N35" s="317"/>
      <c r="O35" s="318">
        <f t="shared" si="4"/>
        <v>0</v>
      </c>
      <c r="P35" s="347"/>
      <c r="Q35" s="316"/>
      <c r="R35" s="317"/>
      <c r="S35" s="318">
        <f t="shared" si="5"/>
        <v>0</v>
      </c>
      <c r="T35" s="347"/>
      <c r="U35" s="320">
        <f t="shared" si="6"/>
        <v>0</v>
      </c>
      <c r="V35" s="321">
        <f t="shared" si="7"/>
        <v>0</v>
      </c>
      <c r="W35" s="359">
        <f t="shared" si="7"/>
        <v>0</v>
      </c>
      <c r="X35" s="323"/>
    </row>
    <row r="36" spans="1:24" ht="17.25" customHeight="1" x14ac:dyDescent="0.2">
      <c r="A36" s="313"/>
      <c r="B36" s="314"/>
      <c r="C36" s="314"/>
      <c r="D36" s="314"/>
      <c r="E36" s="315"/>
      <c r="F36" s="314"/>
      <c r="G36" s="314"/>
      <c r="H36" s="314"/>
      <c r="I36" s="314"/>
      <c r="J36" s="314"/>
      <c r="K36" s="314"/>
      <c r="L36" s="314"/>
      <c r="M36" s="316"/>
      <c r="N36" s="317"/>
      <c r="O36" s="318">
        <f t="shared" si="4"/>
        <v>0</v>
      </c>
      <c r="P36" s="347"/>
      <c r="Q36" s="316"/>
      <c r="R36" s="317"/>
      <c r="S36" s="318">
        <f t="shared" si="5"/>
        <v>0</v>
      </c>
      <c r="T36" s="347"/>
      <c r="U36" s="320">
        <f t="shared" si="6"/>
        <v>0</v>
      </c>
      <c r="V36" s="321">
        <f t="shared" si="7"/>
        <v>0</v>
      </c>
      <c r="W36" s="359">
        <f t="shared" si="7"/>
        <v>0</v>
      </c>
      <c r="X36" s="323"/>
    </row>
    <row r="37" spans="1:24" ht="17.25" customHeight="1" x14ac:dyDescent="0.2">
      <c r="A37" s="313"/>
      <c r="B37" s="314"/>
      <c r="C37" s="314"/>
      <c r="D37" s="314"/>
      <c r="E37" s="315"/>
      <c r="F37" s="314"/>
      <c r="G37" s="314"/>
      <c r="H37" s="314"/>
      <c r="I37" s="314"/>
      <c r="J37" s="314"/>
      <c r="K37" s="314"/>
      <c r="L37" s="314"/>
      <c r="M37" s="316"/>
      <c r="N37" s="317"/>
      <c r="O37" s="318">
        <f t="shared" si="4"/>
        <v>0</v>
      </c>
      <c r="P37" s="347"/>
      <c r="Q37" s="316"/>
      <c r="R37" s="317"/>
      <c r="S37" s="318">
        <f t="shared" si="5"/>
        <v>0</v>
      </c>
      <c r="T37" s="347"/>
      <c r="U37" s="320">
        <f t="shared" si="6"/>
        <v>0</v>
      </c>
      <c r="V37" s="321">
        <f t="shared" si="7"/>
        <v>0</v>
      </c>
      <c r="W37" s="359">
        <f t="shared" si="7"/>
        <v>0</v>
      </c>
      <c r="X37" s="323"/>
    </row>
    <row r="38" spans="1:24" ht="17.25" customHeight="1" x14ac:dyDescent="0.2">
      <c r="A38" s="313"/>
      <c r="B38" s="314"/>
      <c r="C38" s="314"/>
      <c r="D38" s="314"/>
      <c r="E38" s="315"/>
      <c r="F38" s="314"/>
      <c r="G38" s="314"/>
      <c r="H38" s="314"/>
      <c r="I38" s="314"/>
      <c r="J38" s="314"/>
      <c r="K38" s="314"/>
      <c r="L38" s="314"/>
      <c r="M38" s="316"/>
      <c r="N38" s="317"/>
      <c r="O38" s="318">
        <f t="shared" si="4"/>
        <v>0</v>
      </c>
      <c r="P38" s="347"/>
      <c r="Q38" s="316"/>
      <c r="R38" s="317"/>
      <c r="S38" s="318">
        <f t="shared" si="5"/>
        <v>0</v>
      </c>
      <c r="T38" s="347"/>
      <c r="U38" s="320">
        <f t="shared" si="6"/>
        <v>0</v>
      </c>
      <c r="V38" s="321">
        <f t="shared" si="7"/>
        <v>0</v>
      </c>
      <c r="W38" s="359">
        <f t="shared" si="7"/>
        <v>0</v>
      </c>
      <c r="X38" s="323"/>
    </row>
    <row r="39" spans="1:24" ht="17.25" customHeight="1" x14ac:dyDescent="0.2">
      <c r="A39" s="313"/>
      <c r="B39" s="314"/>
      <c r="C39" s="314"/>
      <c r="D39" s="314"/>
      <c r="E39" s="315"/>
      <c r="F39" s="314"/>
      <c r="G39" s="314"/>
      <c r="H39" s="314"/>
      <c r="I39" s="314"/>
      <c r="J39" s="314"/>
      <c r="K39" s="314"/>
      <c r="L39" s="314"/>
      <c r="M39" s="316"/>
      <c r="N39" s="317"/>
      <c r="O39" s="318">
        <f t="shared" si="4"/>
        <v>0</v>
      </c>
      <c r="P39" s="347"/>
      <c r="Q39" s="316"/>
      <c r="R39" s="317"/>
      <c r="S39" s="318">
        <f t="shared" si="5"/>
        <v>0</v>
      </c>
      <c r="T39" s="347"/>
      <c r="U39" s="320">
        <f t="shared" si="6"/>
        <v>0</v>
      </c>
      <c r="V39" s="321">
        <f t="shared" si="7"/>
        <v>0</v>
      </c>
      <c r="W39" s="359">
        <f t="shared" si="7"/>
        <v>0</v>
      </c>
      <c r="X39" s="323"/>
    </row>
    <row r="40" spans="1:24" ht="17.25" customHeight="1" x14ac:dyDescent="0.2">
      <c r="A40" s="313"/>
      <c r="B40" s="314"/>
      <c r="C40" s="314"/>
      <c r="D40" s="314"/>
      <c r="E40" s="315"/>
      <c r="F40" s="314"/>
      <c r="G40" s="314"/>
      <c r="H40" s="314"/>
      <c r="I40" s="314"/>
      <c r="J40" s="314"/>
      <c r="K40" s="314"/>
      <c r="L40" s="314"/>
      <c r="M40" s="316"/>
      <c r="N40" s="317"/>
      <c r="O40" s="318">
        <f t="shared" si="4"/>
        <v>0</v>
      </c>
      <c r="P40" s="347"/>
      <c r="Q40" s="316"/>
      <c r="R40" s="317"/>
      <c r="S40" s="318">
        <f t="shared" si="5"/>
        <v>0</v>
      </c>
      <c r="T40" s="347"/>
      <c r="U40" s="320">
        <f t="shared" si="6"/>
        <v>0</v>
      </c>
      <c r="V40" s="321">
        <f t="shared" si="7"/>
        <v>0</v>
      </c>
      <c r="W40" s="359">
        <f t="shared" si="7"/>
        <v>0</v>
      </c>
      <c r="X40" s="323"/>
    </row>
    <row r="41" spans="1:24" ht="17.25" customHeight="1" x14ac:dyDescent="0.2">
      <c r="A41" s="313"/>
      <c r="B41" s="314"/>
      <c r="C41" s="314"/>
      <c r="D41" s="314"/>
      <c r="E41" s="315"/>
      <c r="F41" s="314"/>
      <c r="G41" s="314"/>
      <c r="H41" s="314"/>
      <c r="I41" s="314"/>
      <c r="J41" s="314"/>
      <c r="K41" s="314"/>
      <c r="L41" s="314"/>
      <c r="M41" s="316"/>
      <c r="N41" s="317"/>
      <c r="O41" s="318">
        <f t="shared" si="4"/>
        <v>0</v>
      </c>
      <c r="P41" s="347"/>
      <c r="Q41" s="316"/>
      <c r="R41" s="317"/>
      <c r="S41" s="318">
        <f t="shared" si="5"/>
        <v>0</v>
      </c>
      <c r="T41" s="347"/>
      <c r="U41" s="320">
        <f t="shared" si="6"/>
        <v>0</v>
      </c>
      <c r="V41" s="321">
        <f t="shared" si="7"/>
        <v>0</v>
      </c>
      <c r="W41" s="359">
        <f t="shared" si="7"/>
        <v>0</v>
      </c>
      <c r="X41" s="323"/>
    </row>
    <row r="42" spans="1:24" ht="17.25" customHeight="1" thickBot="1" x14ac:dyDescent="0.25">
      <c r="A42" s="324"/>
      <c r="B42" s="325"/>
      <c r="C42" s="325"/>
      <c r="D42" s="325"/>
      <c r="E42" s="326"/>
      <c r="F42" s="325"/>
      <c r="G42" s="325"/>
      <c r="H42" s="325"/>
      <c r="I42" s="325"/>
      <c r="J42" s="325"/>
      <c r="K42" s="325"/>
      <c r="L42" s="325"/>
      <c r="M42" s="327"/>
      <c r="N42" s="328"/>
      <c r="O42" s="329">
        <f t="shared" si="4"/>
        <v>0</v>
      </c>
      <c r="P42" s="349"/>
      <c r="Q42" s="327"/>
      <c r="R42" s="328"/>
      <c r="S42" s="329">
        <f t="shared" si="5"/>
        <v>0</v>
      </c>
      <c r="T42" s="349"/>
      <c r="U42" s="331">
        <f t="shared" si="6"/>
        <v>0</v>
      </c>
      <c r="V42" s="332">
        <f t="shared" si="7"/>
        <v>0</v>
      </c>
      <c r="W42" s="360">
        <f t="shared" si="7"/>
        <v>0</v>
      </c>
      <c r="X42" s="334"/>
    </row>
    <row r="43" spans="1:24" ht="17.25" customHeight="1" thickBot="1" x14ac:dyDescent="0.25">
      <c r="A43" s="218"/>
      <c r="B43" s="218"/>
      <c r="C43" s="218"/>
      <c r="D43" s="218"/>
      <c r="E43" s="218"/>
      <c r="F43" s="218"/>
      <c r="G43" s="218"/>
      <c r="H43" s="218"/>
      <c r="I43" s="218"/>
      <c r="J43" s="218"/>
      <c r="K43" s="218"/>
      <c r="L43" s="218"/>
      <c r="M43" s="335">
        <f>SUM(M28:M42)</f>
        <v>210777.4</v>
      </c>
      <c r="N43" s="336"/>
      <c r="O43" s="337">
        <f>SUM(O28:O42)</f>
        <v>0</v>
      </c>
      <c r="P43" s="337">
        <f>SUM(P28:P42)</f>
        <v>0</v>
      </c>
      <c r="Q43" s="335">
        <f>SUM(Q28:Q42)</f>
        <v>223571.8</v>
      </c>
      <c r="R43" s="336"/>
      <c r="S43" s="337">
        <f>SUM(S28:S42)</f>
        <v>0</v>
      </c>
      <c r="T43" s="351">
        <f>SUM(T28:T42)</f>
        <v>0</v>
      </c>
      <c r="U43" s="340">
        <f>SUM(U28:U42)</f>
        <v>12794.399999999994</v>
      </c>
      <c r="V43" s="337">
        <f>SUM(V28:V42)</f>
        <v>0</v>
      </c>
      <c r="W43" s="351">
        <f>SUM(W28:W42)</f>
        <v>0</v>
      </c>
      <c r="X43" s="341"/>
    </row>
    <row r="44" spans="1:24" ht="19.5" customHeight="1" x14ac:dyDescent="0.2"/>
    <row r="45" spans="1:24" x14ac:dyDescent="0.2">
      <c r="A45" s="361" t="s">
        <v>201</v>
      </c>
      <c r="C45" s="361"/>
      <c r="J45" s="362"/>
      <c r="K45" s="362"/>
      <c r="L45" s="362"/>
      <c r="M45" s="363"/>
      <c r="N45" s="364"/>
      <c r="O45" s="363"/>
    </row>
    <row r="46" spans="1:24" ht="9" customHeight="1" x14ac:dyDescent="0.2">
      <c r="A46" s="361"/>
      <c r="C46" s="361"/>
      <c r="J46" s="362"/>
      <c r="K46" s="362"/>
      <c r="L46" s="362"/>
      <c r="M46" s="363"/>
      <c r="N46" s="364"/>
      <c r="O46" s="363"/>
    </row>
    <row r="47" spans="1:24" x14ac:dyDescent="0.2">
      <c r="A47" s="365" t="s">
        <v>202</v>
      </c>
      <c r="B47" s="153" t="s">
        <v>203</v>
      </c>
      <c r="C47" s="366"/>
      <c r="H47" s="367" t="s">
        <v>204</v>
      </c>
      <c r="I47" s="153" t="s">
        <v>205</v>
      </c>
      <c r="L47" s="362"/>
      <c r="M47" s="363"/>
      <c r="N47" s="364"/>
      <c r="O47" s="363"/>
    </row>
    <row r="48" spans="1:24" x14ac:dyDescent="0.2">
      <c r="A48" s="365" t="s">
        <v>206</v>
      </c>
      <c r="B48" s="153" t="s">
        <v>207</v>
      </c>
      <c r="C48" s="366"/>
      <c r="H48" s="367" t="s">
        <v>208</v>
      </c>
      <c r="I48" s="153" t="s">
        <v>209</v>
      </c>
      <c r="L48" s="362"/>
      <c r="M48" s="363"/>
      <c r="N48" s="364"/>
      <c r="O48" s="363"/>
    </row>
    <row r="49" spans="1:15" x14ac:dyDescent="0.2">
      <c r="A49" s="365" t="s">
        <v>210</v>
      </c>
      <c r="B49" s="153" t="s">
        <v>211</v>
      </c>
      <c r="C49" s="366"/>
      <c r="H49" s="367" t="s">
        <v>212</v>
      </c>
      <c r="I49" s="153" t="s">
        <v>213</v>
      </c>
      <c r="L49" s="362"/>
      <c r="M49" s="363"/>
      <c r="N49" s="364"/>
      <c r="O49" s="363"/>
    </row>
    <row r="50" spans="1:15" x14ac:dyDescent="0.2">
      <c r="A50" s="365" t="s">
        <v>214</v>
      </c>
      <c r="B50" s="153" t="s">
        <v>215</v>
      </c>
      <c r="C50" s="366"/>
      <c r="H50" s="367" t="s">
        <v>216</v>
      </c>
      <c r="I50" s="153" t="s">
        <v>217</v>
      </c>
      <c r="L50" s="362"/>
      <c r="M50" s="363"/>
      <c r="N50" s="364"/>
      <c r="O50" s="363"/>
    </row>
    <row r="51" spans="1:15" x14ac:dyDescent="0.2">
      <c r="C51" s="366"/>
      <c r="J51" s="362"/>
      <c r="K51" s="362"/>
      <c r="L51" s="362"/>
      <c r="M51" s="363"/>
      <c r="N51" s="364"/>
      <c r="O51" s="363"/>
    </row>
    <row r="52" spans="1:15" x14ac:dyDescent="0.2">
      <c r="C52" s="366"/>
      <c r="J52" s="362"/>
      <c r="K52" s="362"/>
      <c r="L52" s="362"/>
      <c r="M52" s="363"/>
      <c r="N52" s="364"/>
      <c r="O52" s="363"/>
    </row>
    <row r="53" spans="1:15" x14ac:dyDescent="0.2">
      <c r="C53" s="366"/>
      <c r="J53" s="362"/>
      <c r="K53" s="362"/>
      <c r="L53" s="362"/>
      <c r="M53" s="363"/>
      <c r="N53" s="364"/>
      <c r="O53" s="363"/>
    </row>
    <row r="54" spans="1:15" x14ac:dyDescent="0.2">
      <c r="C54" s="366"/>
      <c r="J54" s="362"/>
      <c r="K54" s="362"/>
      <c r="L54" s="362"/>
      <c r="M54" s="363"/>
      <c r="N54" s="364"/>
      <c r="O54" s="363"/>
    </row>
  </sheetData>
  <mergeCells count="50">
    <mergeCell ref="M4:P4"/>
    <mergeCell ref="Q4:T4"/>
    <mergeCell ref="U4:X4"/>
    <mergeCell ref="A5:A6"/>
    <mergeCell ref="B5:B6"/>
    <mergeCell ref="C5:C6"/>
    <mergeCell ref="D5:D6"/>
    <mergeCell ref="E5:E6"/>
    <mergeCell ref="F5:F6"/>
    <mergeCell ref="G5:G6"/>
    <mergeCell ref="H5:H6"/>
    <mergeCell ref="I5:I6"/>
    <mergeCell ref="J5:L5"/>
    <mergeCell ref="M5:M6"/>
    <mergeCell ref="N5:N6"/>
    <mergeCell ref="V5:V6"/>
    <mergeCell ref="W5:W6"/>
    <mergeCell ref="X5:X6"/>
    <mergeCell ref="M25:P25"/>
    <mergeCell ref="Q25:T25"/>
    <mergeCell ref="U25:X25"/>
    <mergeCell ref="P5:P6"/>
    <mergeCell ref="Q5:Q6"/>
    <mergeCell ref="R5:R6"/>
    <mergeCell ref="S5:S6"/>
    <mergeCell ref="T5:T6"/>
    <mergeCell ref="U5:U6"/>
    <mergeCell ref="O5:O6"/>
    <mergeCell ref="N26:N27"/>
    <mergeCell ref="A26:A27"/>
    <mergeCell ref="B26:B27"/>
    <mergeCell ref="C26:C27"/>
    <mergeCell ref="D26:D27"/>
    <mergeCell ref="E26:E27"/>
    <mergeCell ref="F26:F27"/>
    <mergeCell ref="G26:G27"/>
    <mergeCell ref="H26:H27"/>
    <mergeCell ref="I26:I27"/>
    <mergeCell ref="J26:L26"/>
    <mergeCell ref="M26:M27"/>
    <mergeCell ref="U26:U27"/>
    <mergeCell ref="V26:V27"/>
    <mergeCell ref="W26:W27"/>
    <mergeCell ref="X26:X27"/>
    <mergeCell ref="O26:O27"/>
    <mergeCell ref="P26:P27"/>
    <mergeCell ref="Q26:Q27"/>
    <mergeCell ref="R26:R27"/>
    <mergeCell ref="S26:S27"/>
    <mergeCell ref="T26:T27"/>
  </mergeCells>
  <printOptions horizontalCentered="1"/>
  <pageMargins left="0.16" right="0.16" top="0.49" bottom="0.33" header="0.27" footer="0.16"/>
  <pageSetup paperSize="17"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zoomScale="150" zoomScaleNormal="150" workbookViewId="0">
      <selection activeCell="E91" sqref="E91"/>
    </sheetView>
  </sheetViews>
  <sheetFormatPr defaultRowHeight="12" customHeight="1" x14ac:dyDescent="0.25"/>
  <cols>
    <col min="1" max="9" width="10.5703125" style="623" customWidth="1"/>
    <col min="10" max="16384" width="9.140625" style="623"/>
  </cols>
  <sheetData>
    <row r="1" spans="1:9" ht="12" customHeight="1" x14ac:dyDescent="0.25">
      <c r="A1" s="676" t="s">
        <v>601</v>
      </c>
    </row>
    <row r="2" spans="1:9" ht="12" customHeight="1" thickBot="1" x14ac:dyDescent="0.3"/>
    <row r="3" spans="1:9" ht="12" customHeight="1" x14ac:dyDescent="0.25">
      <c r="A3" s="644" t="s">
        <v>590</v>
      </c>
      <c r="B3" s="645"/>
      <c r="C3" s="645"/>
      <c r="D3" s="645"/>
      <c r="E3" s="645"/>
      <c r="F3" s="646"/>
      <c r="G3" s="645"/>
      <c r="H3" s="645"/>
      <c r="I3" s="647" t="s">
        <v>220</v>
      </c>
    </row>
    <row r="4" spans="1:9" ht="12" customHeight="1" x14ac:dyDescent="0.25">
      <c r="A4" s="648" t="s">
        <v>221</v>
      </c>
      <c r="B4" s="629"/>
      <c r="C4" s="629"/>
      <c r="D4" s="629"/>
      <c r="E4" s="629"/>
      <c r="F4" s="624"/>
      <c r="G4" s="625"/>
      <c r="H4" s="625"/>
      <c r="I4" s="649"/>
    </row>
    <row r="5" spans="1:9" ht="12" customHeight="1" x14ac:dyDescent="0.25">
      <c r="A5" s="650" t="s">
        <v>222</v>
      </c>
      <c r="B5" s="629"/>
      <c r="C5" s="629"/>
      <c r="D5" s="629"/>
      <c r="E5" s="629"/>
      <c r="F5" s="622"/>
      <c r="G5" s="627"/>
      <c r="H5" s="627"/>
      <c r="I5" s="651" t="s">
        <v>223</v>
      </c>
    </row>
    <row r="6" spans="1:9" ht="12" customHeight="1" x14ac:dyDescent="0.25">
      <c r="A6" s="650" t="s">
        <v>591</v>
      </c>
      <c r="B6" s="629"/>
      <c r="C6" s="629"/>
      <c r="D6" s="629"/>
      <c r="E6" s="629"/>
      <c r="F6" s="624"/>
      <c r="G6" s="625"/>
      <c r="H6" s="625"/>
      <c r="I6" s="649"/>
    </row>
    <row r="7" spans="1:9" ht="3" customHeight="1" x14ac:dyDescent="0.25">
      <c r="A7" s="650"/>
      <c r="B7" s="629"/>
      <c r="C7" s="629"/>
      <c r="D7" s="629"/>
      <c r="E7" s="629"/>
      <c r="F7" s="629"/>
      <c r="G7" s="629"/>
      <c r="H7" s="629"/>
      <c r="I7" s="652"/>
    </row>
    <row r="8" spans="1:9" ht="12" customHeight="1" x14ac:dyDescent="0.25">
      <c r="A8" s="653" t="s">
        <v>224</v>
      </c>
      <c r="B8" s="654"/>
      <c r="C8" s="654"/>
      <c r="D8" s="654"/>
      <c r="E8" s="654"/>
      <c r="F8" s="654"/>
      <c r="G8" s="654"/>
      <c r="H8" s="654"/>
      <c r="I8" s="655"/>
    </row>
    <row r="9" spans="1:9" ht="12" customHeight="1" x14ac:dyDescent="0.25">
      <c r="A9" s="656" t="s">
        <v>225</v>
      </c>
      <c r="B9" s="627"/>
      <c r="C9" s="628"/>
      <c r="D9" s="622" t="s">
        <v>226</v>
      </c>
      <c r="E9" s="627"/>
      <c r="F9" s="628"/>
      <c r="G9" s="622" t="s">
        <v>227</v>
      </c>
      <c r="H9" s="627"/>
      <c r="I9" s="657"/>
    </row>
    <row r="10" spans="1:9" ht="12" customHeight="1" x14ac:dyDescent="0.25">
      <c r="A10" s="658"/>
      <c r="B10" s="625"/>
      <c r="C10" s="626"/>
      <c r="D10" s="624"/>
      <c r="E10" s="625"/>
      <c r="F10" s="626"/>
      <c r="G10" s="624"/>
      <c r="H10" s="625"/>
      <c r="I10" s="649"/>
    </row>
    <row r="11" spans="1:9" ht="12" customHeight="1" x14ac:dyDescent="0.25">
      <c r="A11" s="656" t="s">
        <v>228</v>
      </c>
      <c r="B11" s="627"/>
      <c r="C11" s="628"/>
      <c r="D11" s="622" t="s">
        <v>229</v>
      </c>
      <c r="E11" s="627"/>
      <c r="F11" s="627"/>
      <c r="G11" s="627"/>
      <c r="H11" s="627"/>
      <c r="I11" s="657"/>
    </row>
    <row r="12" spans="1:9" ht="12" customHeight="1" x14ac:dyDescent="0.25">
      <c r="A12" s="658"/>
      <c r="B12" s="625"/>
      <c r="C12" s="626"/>
      <c r="D12" s="624"/>
      <c r="E12" s="625"/>
      <c r="F12" s="625"/>
      <c r="G12" s="625"/>
      <c r="H12" s="625"/>
      <c r="I12" s="649"/>
    </row>
    <row r="13" spans="1:9" ht="12" customHeight="1" x14ac:dyDescent="0.25">
      <c r="A13" s="656" t="s">
        <v>230</v>
      </c>
      <c r="B13" s="627"/>
      <c r="C13" s="628"/>
      <c r="D13" s="622" t="s">
        <v>231</v>
      </c>
      <c r="E13" s="627"/>
      <c r="F13" s="628"/>
      <c r="G13" s="622" t="s">
        <v>232</v>
      </c>
      <c r="H13" s="627"/>
      <c r="I13" s="657"/>
    </row>
    <row r="14" spans="1:9" ht="12" customHeight="1" x14ac:dyDescent="0.25">
      <c r="A14" s="658"/>
      <c r="B14" s="625"/>
      <c r="C14" s="626"/>
      <c r="D14" s="624"/>
      <c r="E14" s="625"/>
      <c r="F14" s="626"/>
      <c r="G14" s="624"/>
      <c r="H14" s="625"/>
      <c r="I14" s="649"/>
    </row>
    <row r="15" spans="1:9" ht="3" customHeight="1" x14ac:dyDescent="0.25">
      <c r="A15" s="648"/>
      <c r="B15" s="629"/>
      <c r="C15" s="629"/>
      <c r="D15" s="629"/>
      <c r="E15" s="629"/>
      <c r="F15" s="629"/>
      <c r="G15" s="629"/>
      <c r="H15" s="629"/>
      <c r="I15" s="652"/>
    </row>
    <row r="16" spans="1:9" ht="12" customHeight="1" x14ac:dyDescent="0.25">
      <c r="A16" s="653" t="s">
        <v>233</v>
      </c>
      <c r="B16" s="654"/>
      <c r="C16" s="654"/>
      <c r="D16" s="654"/>
      <c r="E16" s="654"/>
      <c r="F16" s="654"/>
      <c r="G16" s="654"/>
      <c r="H16" s="654"/>
      <c r="I16" s="655"/>
    </row>
    <row r="17" spans="1:9" ht="12" customHeight="1" x14ac:dyDescent="0.25">
      <c r="A17" s="656" t="s">
        <v>234</v>
      </c>
      <c r="B17" s="627"/>
      <c r="C17" s="627"/>
      <c r="D17" s="627"/>
      <c r="E17" s="627"/>
      <c r="F17" s="627"/>
      <c r="G17" s="627"/>
      <c r="H17" s="627"/>
      <c r="I17" s="657"/>
    </row>
    <row r="18" spans="1:9" ht="12" customHeight="1" x14ac:dyDescent="0.25">
      <c r="A18" s="648" t="s">
        <v>235</v>
      </c>
      <c r="B18" s="625"/>
      <c r="C18" s="625"/>
      <c r="D18" s="625"/>
      <c r="E18" s="625"/>
      <c r="F18" s="625"/>
      <c r="G18" s="625"/>
      <c r="H18" s="625"/>
      <c r="I18" s="652"/>
    </row>
    <row r="19" spans="1:9" ht="12" customHeight="1" x14ac:dyDescent="0.25">
      <c r="A19" s="658" t="s">
        <v>236</v>
      </c>
      <c r="B19" s="625"/>
      <c r="C19" s="625"/>
      <c r="D19" s="625"/>
      <c r="E19" s="625"/>
      <c r="F19" s="625"/>
      <c r="G19" s="625"/>
      <c r="H19" s="625"/>
      <c r="I19" s="649"/>
    </row>
    <row r="20" spans="1:9" ht="12" customHeight="1" x14ac:dyDescent="0.25">
      <c r="A20" s="656" t="s">
        <v>237</v>
      </c>
      <c r="B20" s="627"/>
      <c r="C20" s="627"/>
      <c r="D20" s="627"/>
      <c r="E20" s="627"/>
      <c r="F20" s="627"/>
      <c r="G20" s="627"/>
      <c r="H20" s="627"/>
      <c r="I20" s="657"/>
    </row>
    <row r="21" spans="1:9" ht="6" customHeight="1" x14ac:dyDescent="0.25">
      <c r="A21" s="648"/>
      <c r="B21" s="629"/>
      <c r="C21" s="629"/>
      <c r="D21" s="629"/>
      <c r="E21" s="629"/>
      <c r="F21" s="629"/>
      <c r="G21" s="629"/>
      <c r="H21" s="629"/>
      <c r="I21" s="652"/>
    </row>
    <row r="22" spans="1:9" ht="12" customHeight="1" x14ac:dyDescent="0.25">
      <c r="A22" s="648" t="s">
        <v>592</v>
      </c>
      <c r="B22" s="629"/>
      <c r="C22" s="629"/>
      <c r="D22" s="629"/>
      <c r="E22" s="629"/>
      <c r="F22" s="629"/>
      <c r="G22" s="629"/>
      <c r="H22" s="629"/>
      <c r="I22" s="652"/>
    </row>
    <row r="23" spans="1:9" ht="6" customHeight="1" x14ac:dyDescent="0.25">
      <c r="A23" s="648"/>
      <c r="B23" s="629"/>
      <c r="C23" s="629"/>
      <c r="D23" s="629"/>
      <c r="E23" s="629"/>
      <c r="F23" s="629"/>
      <c r="G23" s="629"/>
      <c r="H23" s="629"/>
      <c r="I23" s="652"/>
    </row>
    <row r="24" spans="1:9" ht="12" customHeight="1" x14ac:dyDescent="0.25">
      <c r="A24" s="648" t="s">
        <v>593</v>
      </c>
      <c r="B24" s="629"/>
      <c r="C24" s="629"/>
      <c r="D24" s="629"/>
      <c r="E24" s="629"/>
      <c r="F24" s="629"/>
      <c r="G24" s="629"/>
      <c r="H24" s="629"/>
      <c r="I24" s="652"/>
    </row>
    <row r="25" spans="1:9" ht="6" customHeight="1" x14ac:dyDescent="0.25">
      <c r="A25" s="648"/>
      <c r="B25" s="629"/>
      <c r="C25" s="629"/>
      <c r="D25" s="629"/>
      <c r="E25" s="629"/>
      <c r="F25" s="629"/>
      <c r="G25" s="629"/>
      <c r="H25" s="629"/>
      <c r="I25" s="652"/>
    </row>
    <row r="26" spans="1:9" ht="12" customHeight="1" x14ac:dyDescent="0.25">
      <c r="A26" s="648" t="s">
        <v>238</v>
      </c>
      <c r="B26" s="629"/>
      <c r="C26" s="629"/>
      <c r="D26" s="629"/>
      <c r="E26" s="629"/>
      <c r="F26" s="629"/>
      <c r="G26" s="629"/>
      <c r="H26" s="629"/>
      <c r="I26" s="652"/>
    </row>
    <row r="27" spans="1:9" ht="6" customHeight="1" x14ac:dyDescent="0.25">
      <c r="A27" s="648"/>
      <c r="B27" s="629"/>
      <c r="C27" s="629"/>
      <c r="D27" s="629"/>
      <c r="E27" s="629"/>
      <c r="F27" s="629"/>
      <c r="G27" s="629"/>
      <c r="H27" s="629"/>
      <c r="I27" s="652"/>
    </row>
    <row r="28" spans="1:9" ht="12" customHeight="1" x14ac:dyDescent="0.25">
      <c r="A28" s="659" t="s">
        <v>594</v>
      </c>
      <c r="B28" s="629"/>
      <c r="C28" s="629"/>
      <c r="D28" s="629"/>
      <c r="E28" s="629"/>
      <c r="F28" s="629"/>
      <c r="G28" s="629"/>
      <c r="H28" s="629"/>
      <c r="I28" s="652"/>
    </row>
    <row r="29" spans="1:9" ht="6" customHeight="1" x14ac:dyDescent="0.25">
      <c r="A29" s="659"/>
      <c r="B29" s="629"/>
      <c r="C29" s="629"/>
      <c r="D29" s="629"/>
      <c r="E29" s="629"/>
      <c r="F29" s="629"/>
      <c r="G29" s="629"/>
      <c r="H29" s="629"/>
      <c r="I29" s="652"/>
    </row>
    <row r="30" spans="1:9" ht="12" customHeight="1" x14ac:dyDescent="0.25">
      <c r="A30" s="648" t="s">
        <v>239</v>
      </c>
      <c r="B30" s="632" t="s">
        <v>240</v>
      </c>
      <c r="C30" s="632" t="s">
        <v>241</v>
      </c>
      <c r="D30" s="632" t="s">
        <v>242</v>
      </c>
      <c r="E30" s="632" t="s">
        <v>243</v>
      </c>
      <c r="F30" s="632" t="s">
        <v>244</v>
      </c>
      <c r="G30" s="632" t="s">
        <v>245</v>
      </c>
      <c r="H30" s="632" t="s">
        <v>246</v>
      </c>
      <c r="I30" s="652"/>
    </row>
    <row r="31" spans="1:9" ht="6" customHeight="1" x14ac:dyDescent="0.25">
      <c r="A31" s="648"/>
      <c r="B31" s="632"/>
      <c r="C31" s="632"/>
      <c r="D31" s="632"/>
      <c r="E31" s="632"/>
      <c r="F31" s="632"/>
      <c r="G31" s="632"/>
      <c r="H31" s="632"/>
      <c r="I31" s="652"/>
    </row>
    <row r="32" spans="1:9" ht="12" customHeight="1" x14ac:dyDescent="0.25">
      <c r="A32" s="658" t="s">
        <v>247</v>
      </c>
      <c r="B32" s="625"/>
      <c r="C32" s="625"/>
      <c r="D32" s="625"/>
      <c r="E32" s="625"/>
      <c r="F32" s="625"/>
      <c r="G32" s="625"/>
      <c r="H32" s="625"/>
      <c r="I32" s="649"/>
    </row>
    <row r="33" spans="1:9" ht="3" customHeight="1" x14ac:dyDescent="0.25">
      <c r="A33" s="648"/>
      <c r="B33" s="629"/>
      <c r="C33" s="629"/>
      <c r="D33" s="629"/>
      <c r="E33" s="629"/>
      <c r="F33" s="629"/>
      <c r="G33" s="629"/>
      <c r="H33" s="629"/>
      <c r="I33" s="652"/>
    </row>
    <row r="34" spans="1:9" ht="12" customHeight="1" x14ac:dyDescent="0.25">
      <c r="A34" s="653" t="s">
        <v>248</v>
      </c>
      <c r="B34" s="654"/>
      <c r="C34" s="654"/>
      <c r="D34" s="654"/>
      <c r="E34" s="654"/>
      <c r="F34" s="654"/>
      <c r="G34" s="654"/>
      <c r="H34" s="654"/>
      <c r="I34" s="655"/>
    </row>
    <row r="35" spans="1:9" ht="12" customHeight="1" x14ac:dyDescent="0.25">
      <c r="A35" s="656" t="s">
        <v>249</v>
      </c>
      <c r="B35" s="627"/>
      <c r="C35" s="627"/>
      <c r="D35" s="627"/>
      <c r="E35" s="627"/>
      <c r="F35" s="627"/>
      <c r="G35" s="627"/>
      <c r="H35" s="627"/>
      <c r="I35" s="657"/>
    </row>
    <row r="36" spans="1:9" ht="12" customHeight="1" x14ac:dyDescent="0.25">
      <c r="A36" s="648"/>
      <c r="B36" s="629"/>
      <c r="C36" s="629"/>
      <c r="D36" s="629"/>
      <c r="E36" s="629"/>
      <c r="F36" s="629"/>
      <c r="G36" s="629"/>
      <c r="H36" s="629"/>
      <c r="I36" s="652"/>
    </row>
    <row r="37" spans="1:9" ht="12" customHeight="1" x14ac:dyDescent="0.25">
      <c r="A37" s="658"/>
      <c r="B37" s="625"/>
      <c r="C37" s="625"/>
      <c r="D37" s="625"/>
      <c r="E37" s="625"/>
      <c r="F37" s="625"/>
      <c r="G37" s="625"/>
      <c r="H37" s="625"/>
      <c r="I37" s="649"/>
    </row>
    <row r="38" spans="1:9" ht="12" customHeight="1" x14ac:dyDescent="0.25">
      <c r="A38" s="656" t="s">
        <v>250</v>
      </c>
      <c r="B38" s="627"/>
      <c r="C38" s="627"/>
      <c r="D38" s="627"/>
      <c r="E38" s="627"/>
      <c r="F38" s="627"/>
      <c r="G38" s="627"/>
      <c r="H38" s="627"/>
      <c r="I38" s="657"/>
    </row>
    <row r="39" spans="1:9" ht="12" customHeight="1" x14ac:dyDescent="0.25">
      <c r="A39" s="648"/>
      <c r="B39" s="629"/>
      <c r="C39" s="629"/>
      <c r="D39" s="629"/>
      <c r="E39" s="629"/>
      <c r="F39" s="629"/>
      <c r="G39" s="629"/>
      <c r="H39" s="629"/>
      <c r="I39" s="652"/>
    </row>
    <row r="40" spans="1:9" ht="12" customHeight="1" x14ac:dyDescent="0.25">
      <c r="A40" s="658"/>
      <c r="B40" s="625"/>
      <c r="C40" s="625"/>
      <c r="D40" s="625"/>
      <c r="E40" s="625"/>
      <c r="F40" s="625"/>
      <c r="G40" s="625"/>
      <c r="H40" s="625"/>
      <c r="I40" s="649"/>
    </row>
    <row r="41" spans="1:9" ht="12" customHeight="1" x14ac:dyDescent="0.25">
      <c r="A41" s="656" t="s">
        <v>251</v>
      </c>
      <c r="B41" s="627"/>
      <c r="C41" s="627"/>
      <c r="D41" s="627"/>
      <c r="E41" s="627"/>
      <c r="F41" s="627"/>
      <c r="G41" s="627"/>
      <c r="H41" s="627"/>
      <c r="I41" s="657"/>
    </row>
    <row r="42" spans="1:9" ht="12" customHeight="1" x14ac:dyDescent="0.25">
      <c r="A42" s="648"/>
      <c r="B42" s="629"/>
      <c r="C42" s="629"/>
      <c r="D42" s="629"/>
      <c r="E42" s="629"/>
      <c r="F42" s="629"/>
      <c r="G42" s="629"/>
      <c r="H42" s="629"/>
      <c r="I42" s="652"/>
    </row>
    <row r="43" spans="1:9" ht="12" customHeight="1" x14ac:dyDescent="0.25">
      <c r="A43" s="658"/>
      <c r="B43" s="625"/>
      <c r="C43" s="625"/>
      <c r="D43" s="625"/>
      <c r="E43" s="625"/>
      <c r="F43" s="625"/>
      <c r="G43" s="625"/>
      <c r="H43" s="625"/>
      <c r="I43" s="649"/>
    </row>
    <row r="44" spans="1:9" ht="3" customHeight="1" x14ac:dyDescent="0.25">
      <c r="A44" s="648"/>
      <c r="B44" s="629"/>
      <c r="C44" s="629"/>
      <c r="D44" s="629"/>
      <c r="E44" s="629"/>
      <c r="F44" s="629"/>
      <c r="G44" s="629"/>
      <c r="H44" s="629"/>
      <c r="I44" s="652"/>
    </row>
    <row r="45" spans="1:9" ht="12" customHeight="1" x14ac:dyDescent="0.25">
      <c r="A45" s="653" t="s">
        <v>252</v>
      </c>
      <c r="B45" s="654"/>
      <c r="C45" s="654"/>
      <c r="D45" s="654"/>
      <c r="E45" s="654"/>
      <c r="F45" s="654"/>
      <c r="G45" s="654"/>
      <c r="H45" s="654"/>
      <c r="I45" s="655"/>
    </row>
    <row r="46" spans="1:9" ht="12" customHeight="1" x14ac:dyDescent="0.25">
      <c r="A46" s="656" t="s">
        <v>253</v>
      </c>
      <c r="B46" s="628"/>
      <c r="C46" s="622" t="s">
        <v>254</v>
      </c>
      <c r="D46" s="628"/>
      <c r="E46" s="633" t="s">
        <v>255</v>
      </c>
      <c r="F46" s="633" t="s">
        <v>256</v>
      </c>
      <c r="G46" s="622" t="s">
        <v>257</v>
      </c>
      <c r="H46" s="628"/>
      <c r="I46" s="660" t="s">
        <v>258</v>
      </c>
    </row>
    <row r="47" spans="1:9" ht="12" customHeight="1" x14ac:dyDescent="0.25">
      <c r="A47" s="658"/>
      <c r="B47" s="626"/>
      <c r="C47" s="624"/>
      <c r="D47" s="626"/>
      <c r="E47" s="634"/>
      <c r="F47" s="634"/>
      <c r="G47" s="624"/>
      <c r="H47" s="626"/>
      <c r="I47" s="661"/>
    </row>
    <row r="48" spans="1:9" ht="3" customHeight="1" x14ac:dyDescent="0.25">
      <c r="A48" s="648"/>
      <c r="B48" s="629"/>
      <c r="C48" s="629"/>
      <c r="D48" s="629"/>
      <c r="E48" s="629"/>
      <c r="F48" s="629"/>
      <c r="G48" s="629"/>
      <c r="H48" s="629"/>
      <c r="I48" s="652"/>
    </row>
    <row r="49" spans="1:9" ht="12" customHeight="1" x14ac:dyDescent="0.25">
      <c r="A49" s="653" t="s">
        <v>259</v>
      </c>
      <c r="B49" s="654"/>
      <c r="C49" s="654"/>
      <c r="D49" s="654"/>
      <c r="E49" s="654"/>
      <c r="F49" s="654"/>
      <c r="G49" s="654"/>
      <c r="H49" s="654"/>
      <c r="I49" s="655"/>
    </row>
    <row r="50" spans="1:9" ht="12" customHeight="1" x14ac:dyDescent="0.25">
      <c r="A50" s="656" t="s">
        <v>260</v>
      </c>
      <c r="B50" s="627"/>
      <c r="C50" s="627"/>
      <c r="D50" s="628"/>
      <c r="E50" s="622" t="s">
        <v>232</v>
      </c>
      <c r="F50" s="627"/>
      <c r="G50" s="628"/>
      <c r="H50" s="622" t="s">
        <v>261</v>
      </c>
      <c r="I50" s="657"/>
    </row>
    <row r="51" spans="1:9" ht="12" customHeight="1" x14ac:dyDescent="0.25">
      <c r="A51" s="658"/>
      <c r="B51" s="625"/>
      <c r="C51" s="625"/>
      <c r="D51" s="626"/>
      <c r="E51" s="624"/>
      <c r="F51" s="625"/>
      <c r="G51" s="626"/>
      <c r="H51" s="624"/>
      <c r="I51" s="649"/>
    </row>
    <row r="52" spans="1:9" ht="12" customHeight="1" x14ac:dyDescent="0.25">
      <c r="A52" s="656" t="s">
        <v>262</v>
      </c>
      <c r="B52" s="628"/>
      <c r="C52" s="622" t="s">
        <v>263</v>
      </c>
      <c r="D52" s="628"/>
      <c r="E52" s="622" t="s">
        <v>264</v>
      </c>
      <c r="F52" s="627"/>
      <c r="G52" s="628"/>
      <c r="H52" s="622" t="s">
        <v>261</v>
      </c>
      <c r="I52" s="657"/>
    </row>
    <row r="53" spans="1:9" ht="12" customHeight="1" x14ac:dyDescent="0.25">
      <c r="A53" s="658"/>
      <c r="B53" s="626"/>
      <c r="C53" s="624"/>
      <c r="D53" s="626"/>
      <c r="E53" s="624"/>
      <c r="F53" s="625"/>
      <c r="G53" s="626"/>
      <c r="H53" s="624"/>
      <c r="I53" s="649"/>
    </row>
    <row r="54" spans="1:9" ht="12" customHeight="1" x14ac:dyDescent="0.25">
      <c r="A54" s="656" t="s">
        <v>595</v>
      </c>
      <c r="B54" s="628"/>
      <c r="C54" s="622" t="s">
        <v>263</v>
      </c>
      <c r="D54" s="628"/>
      <c r="E54" s="622" t="s">
        <v>264</v>
      </c>
      <c r="F54" s="627"/>
      <c r="G54" s="628"/>
      <c r="H54" s="622" t="s">
        <v>261</v>
      </c>
      <c r="I54" s="657"/>
    </row>
    <row r="55" spans="1:9" ht="12" customHeight="1" x14ac:dyDescent="0.25">
      <c r="A55" s="658"/>
      <c r="B55" s="626"/>
      <c r="C55" s="624"/>
      <c r="D55" s="626"/>
      <c r="E55" s="624"/>
      <c r="F55" s="625"/>
      <c r="G55" s="626"/>
      <c r="H55" s="624"/>
      <c r="I55" s="649"/>
    </row>
    <row r="56" spans="1:9" ht="3" customHeight="1" x14ac:dyDescent="0.25">
      <c r="A56" s="648"/>
      <c r="B56" s="629"/>
      <c r="C56" s="629"/>
      <c r="D56" s="629"/>
      <c r="E56" s="629"/>
      <c r="F56" s="629"/>
      <c r="G56" s="629"/>
      <c r="H56" s="629"/>
      <c r="I56" s="652"/>
    </row>
    <row r="57" spans="1:9" ht="12" customHeight="1" x14ac:dyDescent="0.25">
      <c r="A57" s="653" t="s">
        <v>265</v>
      </c>
      <c r="B57" s="654"/>
      <c r="C57" s="654"/>
      <c r="D57" s="654"/>
      <c r="E57" s="654"/>
      <c r="F57" s="654"/>
      <c r="G57" s="654"/>
      <c r="H57" s="654"/>
      <c r="I57" s="655"/>
    </row>
    <row r="58" spans="1:9" ht="12" customHeight="1" x14ac:dyDescent="0.25">
      <c r="A58" s="662" t="s">
        <v>266</v>
      </c>
      <c r="B58" s="635"/>
      <c r="C58" s="635"/>
      <c r="D58" s="635"/>
      <c r="E58" s="635"/>
      <c r="F58" s="635"/>
      <c r="G58" s="635"/>
      <c r="H58" s="635"/>
      <c r="I58" s="663"/>
    </row>
    <row r="59" spans="1:9" ht="12" customHeight="1" x14ac:dyDescent="0.25">
      <c r="A59" s="664"/>
      <c r="B59" s="636"/>
      <c r="C59" s="636"/>
      <c r="D59" s="636"/>
      <c r="E59" s="636"/>
      <c r="F59" s="636"/>
      <c r="G59" s="636"/>
      <c r="H59" s="636"/>
      <c r="I59" s="665"/>
    </row>
    <row r="60" spans="1:9" ht="12" customHeight="1" x14ac:dyDescent="0.25">
      <c r="A60" s="666"/>
      <c r="B60" s="637"/>
      <c r="C60" s="637"/>
      <c r="D60" s="637"/>
      <c r="E60" s="637"/>
      <c r="F60" s="637"/>
      <c r="G60" s="637"/>
      <c r="H60" s="637"/>
      <c r="I60" s="667"/>
    </row>
    <row r="61" spans="1:9" ht="12" customHeight="1" x14ac:dyDescent="0.25">
      <c r="A61" s="648" t="s">
        <v>267</v>
      </c>
      <c r="B61" s="629"/>
      <c r="C61" s="629"/>
      <c r="D61" s="631"/>
      <c r="E61" s="630" t="s">
        <v>264</v>
      </c>
      <c r="F61" s="629"/>
      <c r="G61" s="631"/>
      <c r="H61" s="630" t="s">
        <v>261</v>
      </c>
      <c r="I61" s="652"/>
    </row>
    <row r="62" spans="1:9" ht="12" customHeight="1" x14ac:dyDescent="0.25">
      <c r="A62" s="658"/>
      <c r="B62" s="625"/>
      <c r="C62" s="625"/>
      <c r="D62" s="626"/>
      <c r="E62" s="624"/>
      <c r="F62" s="625"/>
      <c r="G62" s="626"/>
      <c r="H62" s="624"/>
      <c r="I62" s="649"/>
    </row>
    <row r="63" spans="1:9" ht="3" customHeight="1" x14ac:dyDescent="0.25">
      <c r="A63" s="656"/>
      <c r="B63" s="627"/>
      <c r="C63" s="627"/>
      <c r="D63" s="627"/>
      <c r="E63" s="627"/>
      <c r="F63" s="627"/>
      <c r="G63" s="627"/>
      <c r="H63" s="627"/>
      <c r="I63" s="657"/>
    </row>
    <row r="64" spans="1:9" ht="12" customHeight="1" x14ac:dyDescent="0.25">
      <c r="A64" s="916" t="s">
        <v>268</v>
      </c>
      <c r="B64" s="917"/>
      <c r="C64" s="917"/>
      <c r="D64" s="917"/>
      <c r="E64" s="917"/>
      <c r="F64" s="918"/>
      <c r="G64" s="918"/>
      <c r="H64" s="917"/>
      <c r="I64" s="919"/>
    </row>
    <row r="65" spans="1:9" ht="12" customHeight="1" x14ac:dyDescent="0.25">
      <c r="A65" s="668" t="s">
        <v>596</v>
      </c>
      <c r="B65" s="638"/>
      <c r="C65" s="639"/>
      <c r="D65" s="640"/>
      <c r="E65" s="640"/>
      <c r="F65" s="641" t="s">
        <v>597</v>
      </c>
      <c r="G65" s="642"/>
      <c r="H65" s="643" t="s">
        <v>261</v>
      </c>
      <c r="I65" s="669"/>
    </row>
    <row r="66" spans="1:9" ht="12" customHeight="1" x14ac:dyDescent="0.25">
      <c r="A66" s="668" t="s">
        <v>598</v>
      </c>
      <c r="B66" s="640"/>
      <c r="C66" s="625"/>
      <c r="D66" s="625"/>
      <c r="E66" s="625"/>
      <c r="F66" s="624" t="s">
        <v>270</v>
      </c>
      <c r="G66" s="625"/>
      <c r="H66" s="641" t="s">
        <v>261</v>
      </c>
      <c r="I66" s="669"/>
    </row>
    <row r="67" spans="1:9" ht="12" customHeight="1" x14ac:dyDescent="0.25">
      <c r="A67" s="668" t="s">
        <v>599</v>
      </c>
      <c r="B67" s="640"/>
      <c r="C67" s="640"/>
      <c r="D67" s="640"/>
      <c r="E67" s="640"/>
      <c r="F67" s="639" t="s">
        <v>270</v>
      </c>
      <c r="G67" s="640"/>
      <c r="H67" s="641" t="s">
        <v>261</v>
      </c>
      <c r="I67" s="669"/>
    </row>
    <row r="68" spans="1:9" ht="3" customHeight="1" x14ac:dyDescent="0.25">
      <c r="A68" s="648"/>
      <c r="B68" s="629"/>
      <c r="C68" s="629"/>
      <c r="D68" s="629"/>
      <c r="E68" s="629"/>
      <c r="F68" s="629"/>
      <c r="G68" s="629"/>
      <c r="H68" s="629"/>
      <c r="I68" s="652"/>
    </row>
    <row r="69" spans="1:9" ht="12" customHeight="1" x14ac:dyDescent="0.25">
      <c r="A69" s="916" t="s">
        <v>271</v>
      </c>
      <c r="B69" s="917"/>
      <c r="C69" s="917"/>
      <c r="D69" s="917"/>
      <c r="E69" s="917"/>
      <c r="F69" s="917"/>
      <c r="G69" s="917"/>
      <c r="H69" s="917"/>
      <c r="I69" s="919"/>
    </row>
    <row r="70" spans="1:9" ht="12" customHeight="1" x14ac:dyDescent="0.25">
      <c r="A70" s="668" t="s">
        <v>596</v>
      </c>
      <c r="B70" s="638"/>
      <c r="C70" s="639" t="s">
        <v>269</v>
      </c>
      <c r="D70" s="640"/>
      <c r="E70" s="640"/>
      <c r="F70" s="640"/>
      <c r="G70" s="638"/>
      <c r="H70" s="641" t="s">
        <v>261</v>
      </c>
      <c r="I70" s="669"/>
    </row>
    <row r="71" spans="1:9" ht="12" customHeight="1" x14ac:dyDescent="0.25">
      <c r="A71" s="668" t="s">
        <v>600</v>
      </c>
      <c r="B71" s="640"/>
      <c r="C71" s="625"/>
      <c r="D71" s="625"/>
      <c r="E71" s="625"/>
      <c r="F71" s="624" t="s">
        <v>270</v>
      </c>
      <c r="G71" s="625"/>
      <c r="H71" s="641" t="s">
        <v>261</v>
      </c>
      <c r="I71" s="669"/>
    </row>
    <row r="72" spans="1:9" ht="3" customHeight="1" x14ac:dyDescent="0.25">
      <c r="A72" s="648"/>
      <c r="B72" s="629"/>
      <c r="C72" s="629"/>
      <c r="D72" s="629"/>
      <c r="E72" s="629"/>
      <c r="F72" s="629"/>
      <c r="G72" s="629"/>
      <c r="H72" s="629"/>
      <c r="I72" s="652"/>
    </row>
    <row r="73" spans="1:9" ht="12" customHeight="1" x14ac:dyDescent="0.25">
      <c r="A73" s="920" t="s">
        <v>272</v>
      </c>
      <c r="B73" s="921"/>
      <c r="C73" s="921"/>
      <c r="D73" s="921"/>
      <c r="E73" s="921"/>
      <c r="F73" s="921"/>
      <c r="G73" s="921"/>
      <c r="H73" s="921"/>
      <c r="I73" s="922"/>
    </row>
    <row r="74" spans="1:9" ht="12" customHeight="1" thickBot="1" x14ac:dyDescent="0.3">
      <c r="A74" s="923" t="s">
        <v>273</v>
      </c>
      <c r="B74" s="924"/>
      <c r="C74" s="924"/>
      <c r="D74" s="924"/>
      <c r="E74" s="924"/>
      <c r="F74" s="924"/>
      <c r="G74" s="924"/>
      <c r="H74" s="924"/>
      <c r="I74" s="925"/>
    </row>
  </sheetData>
  <mergeCells count="4">
    <mergeCell ref="A64:I64"/>
    <mergeCell ref="A69:I69"/>
    <mergeCell ref="A73:I73"/>
    <mergeCell ref="A74:I74"/>
  </mergeCells>
  <pageMargins left="0.5" right="0.5" top="0.5" bottom="0.5" header="0.3" footer="0.3"/>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48" zoomScale="120" zoomScaleNormal="120" workbookViewId="0">
      <selection activeCell="E76" sqref="E76"/>
    </sheetView>
  </sheetViews>
  <sheetFormatPr defaultRowHeight="12.75" x14ac:dyDescent="0.2"/>
  <cols>
    <col min="1" max="1" width="6.28515625" style="378" bestFit="1" customWidth="1"/>
    <col min="2" max="2" width="9.5703125" style="377" customWidth="1"/>
    <col min="3" max="3" width="34.85546875" style="377" customWidth="1"/>
    <col min="4" max="4" width="15.5703125" style="377" customWidth="1"/>
    <col min="5" max="5" width="21.7109375" style="377" bestFit="1" customWidth="1"/>
    <col min="6" max="16384" width="9.140625" style="370"/>
  </cols>
  <sheetData>
    <row r="1" spans="1:5" ht="13.5" thickBot="1" x14ac:dyDescent="0.25">
      <c r="A1" s="368" t="s">
        <v>274</v>
      </c>
      <c r="B1" s="369" t="s">
        <v>275</v>
      </c>
      <c r="C1" s="369" t="s">
        <v>276</v>
      </c>
      <c r="D1" s="369" t="s">
        <v>277</v>
      </c>
      <c r="E1" s="710" t="s">
        <v>278</v>
      </c>
    </row>
    <row r="2" spans="1:5" ht="13.5" thickBot="1" x14ac:dyDescent="0.25">
      <c r="A2" s="371">
        <v>62</v>
      </c>
      <c r="B2" s="372" t="s">
        <v>279</v>
      </c>
      <c r="C2" s="372" t="s">
        <v>280</v>
      </c>
      <c r="D2" s="670" t="s">
        <v>281</v>
      </c>
      <c r="E2" s="670" t="s">
        <v>609</v>
      </c>
    </row>
    <row r="3" spans="1:5" ht="13.5" thickBot="1" x14ac:dyDescent="0.25">
      <c r="A3" s="371">
        <v>70</v>
      </c>
      <c r="B3" s="372" t="s">
        <v>283</v>
      </c>
      <c r="C3" s="372" t="s">
        <v>284</v>
      </c>
      <c r="D3" s="670" t="s">
        <v>602</v>
      </c>
      <c r="E3" s="670" t="s">
        <v>603</v>
      </c>
    </row>
    <row r="4" spans="1:5" ht="13.5" thickBot="1" x14ac:dyDescent="0.25">
      <c r="A4" s="371">
        <v>72</v>
      </c>
      <c r="B4" s="372" t="s">
        <v>285</v>
      </c>
      <c r="C4" s="372" t="s">
        <v>286</v>
      </c>
      <c r="D4" s="670" t="s">
        <v>602</v>
      </c>
      <c r="E4" s="670" t="s">
        <v>603</v>
      </c>
    </row>
    <row r="5" spans="1:5" ht="13.5" thickBot="1" x14ac:dyDescent="0.25">
      <c r="A5" s="371">
        <v>76</v>
      </c>
      <c r="B5" s="372" t="s">
        <v>287</v>
      </c>
      <c r="C5" s="372" t="s">
        <v>288</v>
      </c>
      <c r="D5" s="670" t="s">
        <v>602</v>
      </c>
      <c r="E5" s="670" t="s">
        <v>603</v>
      </c>
    </row>
    <row r="6" spans="1:5" ht="13.5" thickBot="1" x14ac:dyDescent="0.25">
      <c r="A6" s="371">
        <v>93</v>
      </c>
      <c r="B6" s="372" t="s">
        <v>289</v>
      </c>
      <c r="C6" s="372" t="s">
        <v>290</v>
      </c>
      <c r="D6" s="670" t="s">
        <v>602</v>
      </c>
      <c r="E6" s="670" t="s">
        <v>603</v>
      </c>
    </row>
    <row r="7" spans="1:5" ht="13.5" thickBot="1" x14ac:dyDescent="0.25">
      <c r="A7" s="371">
        <v>74</v>
      </c>
      <c r="B7" s="372" t="s">
        <v>291</v>
      </c>
      <c r="C7" s="372" t="s">
        <v>292</v>
      </c>
      <c r="D7" s="670" t="s">
        <v>602</v>
      </c>
      <c r="E7" s="670" t="s">
        <v>603</v>
      </c>
    </row>
    <row r="8" spans="1:5" ht="13.5" thickBot="1" x14ac:dyDescent="0.25">
      <c r="A8" s="371">
        <v>69</v>
      </c>
      <c r="B8" s="372" t="s">
        <v>293</v>
      </c>
      <c r="C8" s="372" t="s">
        <v>294</v>
      </c>
      <c r="D8" s="670" t="s">
        <v>602</v>
      </c>
      <c r="E8" s="670" t="s">
        <v>603</v>
      </c>
    </row>
    <row r="9" spans="1:5" ht="13.5" thickBot="1" x14ac:dyDescent="0.25">
      <c r="A9" s="371">
        <v>13</v>
      </c>
      <c r="B9" s="372" t="s">
        <v>295</v>
      </c>
      <c r="C9" s="372" t="s">
        <v>296</v>
      </c>
      <c r="D9" s="670" t="s">
        <v>602</v>
      </c>
      <c r="E9" s="670" t="s">
        <v>603</v>
      </c>
    </row>
    <row r="10" spans="1:5" ht="13.5" thickBot="1" x14ac:dyDescent="0.25">
      <c r="A10" s="371">
        <v>27</v>
      </c>
      <c r="B10" s="372" t="s">
        <v>297</v>
      </c>
      <c r="C10" s="372" t="s">
        <v>298</v>
      </c>
      <c r="D10" s="670" t="s">
        <v>604</v>
      </c>
      <c r="E10" s="670" t="s">
        <v>609</v>
      </c>
    </row>
    <row r="11" spans="1:5" ht="13.5" thickBot="1" x14ac:dyDescent="0.25">
      <c r="A11" s="371">
        <v>28</v>
      </c>
      <c r="B11" s="372" t="s">
        <v>300</v>
      </c>
      <c r="C11" s="372" t="s">
        <v>301</v>
      </c>
      <c r="D11" s="670" t="s">
        <v>281</v>
      </c>
      <c r="E11" s="670" t="s">
        <v>609</v>
      </c>
    </row>
    <row r="12" spans="1:5" ht="13.5" thickBot="1" x14ac:dyDescent="0.25">
      <c r="A12" s="371">
        <v>2</v>
      </c>
      <c r="B12" s="372" t="s">
        <v>302</v>
      </c>
      <c r="C12" s="372" t="s">
        <v>303</v>
      </c>
      <c r="D12" s="670" t="s">
        <v>605</v>
      </c>
      <c r="E12" s="670" t="s">
        <v>305</v>
      </c>
    </row>
    <row r="13" spans="1:5" ht="13.5" thickBot="1" x14ac:dyDescent="0.25">
      <c r="A13" s="371">
        <v>1</v>
      </c>
      <c r="B13" s="372" t="s">
        <v>306</v>
      </c>
      <c r="C13" s="372" t="s">
        <v>307</v>
      </c>
      <c r="D13" s="670" t="s">
        <v>602</v>
      </c>
      <c r="E13" s="670" t="s">
        <v>603</v>
      </c>
    </row>
    <row r="14" spans="1:5" ht="13.5" thickBot="1" x14ac:dyDescent="0.25">
      <c r="A14" s="371">
        <v>3</v>
      </c>
      <c r="B14" s="372" t="s">
        <v>308</v>
      </c>
      <c r="C14" s="372" t="s">
        <v>309</v>
      </c>
      <c r="D14" s="670" t="s">
        <v>281</v>
      </c>
      <c r="E14" s="670" t="s">
        <v>603</v>
      </c>
    </row>
    <row r="15" spans="1:5" ht="13.5" thickBot="1" x14ac:dyDescent="0.25">
      <c r="A15" s="371">
        <v>64</v>
      </c>
      <c r="B15" s="372" t="s">
        <v>310</v>
      </c>
      <c r="C15" s="372" t="s">
        <v>311</v>
      </c>
      <c r="D15" s="670" t="s">
        <v>602</v>
      </c>
      <c r="E15" s="670" t="s">
        <v>606</v>
      </c>
    </row>
    <row r="16" spans="1:5" ht="13.5" thickBot="1" x14ac:dyDescent="0.25">
      <c r="A16" s="371">
        <v>23</v>
      </c>
      <c r="B16" s="372" t="s">
        <v>313</v>
      </c>
      <c r="C16" s="372" t="s">
        <v>314</v>
      </c>
      <c r="D16" s="670" t="s">
        <v>602</v>
      </c>
      <c r="E16" s="670" t="s">
        <v>606</v>
      </c>
    </row>
    <row r="17" spans="1:5" ht="13.5" thickBot="1" x14ac:dyDescent="0.25">
      <c r="A17" s="371">
        <v>9</v>
      </c>
      <c r="B17" s="372" t="s">
        <v>315</v>
      </c>
      <c r="C17" s="372" t="s">
        <v>316</v>
      </c>
      <c r="D17" s="670" t="s">
        <v>602</v>
      </c>
      <c r="E17" s="670" t="s">
        <v>608</v>
      </c>
    </row>
    <row r="18" spans="1:5" ht="13.5" thickBot="1" x14ac:dyDescent="0.25">
      <c r="A18" s="371">
        <v>29</v>
      </c>
      <c r="B18" s="372" t="s">
        <v>317</v>
      </c>
      <c r="C18" s="372" t="s">
        <v>318</v>
      </c>
      <c r="D18" s="670" t="s">
        <v>605</v>
      </c>
      <c r="E18" s="670" t="s">
        <v>319</v>
      </c>
    </row>
    <row r="19" spans="1:5" ht="13.5" thickBot="1" x14ac:dyDescent="0.25">
      <c r="A19" s="371">
        <v>10</v>
      </c>
      <c r="B19" s="372" t="s">
        <v>320</v>
      </c>
      <c r="C19" s="372" t="s">
        <v>321</v>
      </c>
      <c r="D19" s="670" t="s">
        <v>605</v>
      </c>
      <c r="E19" s="670" t="s">
        <v>299</v>
      </c>
    </row>
    <row r="20" spans="1:5" ht="13.5" thickBot="1" x14ac:dyDescent="0.25">
      <c r="A20" s="371">
        <v>30</v>
      </c>
      <c r="B20" s="372" t="s">
        <v>322</v>
      </c>
      <c r="C20" s="372" t="s">
        <v>323</v>
      </c>
      <c r="D20" s="670" t="s">
        <v>604</v>
      </c>
      <c r="E20" s="670" t="s">
        <v>332</v>
      </c>
    </row>
    <row r="21" spans="1:5" ht="13.5" thickBot="1" x14ac:dyDescent="0.25">
      <c r="A21" s="371">
        <v>17</v>
      </c>
      <c r="B21" s="372" t="s">
        <v>324</v>
      </c>
      <c r="C21" s="372" t="s">
        <v>325</v>
      </c>
      <c r="D21" s="670" t="s">
        <v>281</v>
      </c>
      <c r="E21" s="670" t="s">
        <v>607</v>
      </c>
    </row>
    <row r="22" spans="1:5" ht="13.5" thickBot="1" x14ac:dyDescent="0.25">
      <c r="A22" s="371">
        <v>4</v>
      </c>
      <c r="B22" s="372" t="s">
        <v>326</v>
      </c>
      <c r="C22" s="372" t="s">
        <v>327</v>
      </c>
      <c r="D22" s="670" t="s">
        <v>281</v>
      </c>
      <c r="E22" s="670" t="s">
        <v>299</v>
      </c>
    </row>
    <row r="23" spans="1:5" ht="13.5" thickBot="1" x14ac:dyDescent="0.25">
      <c r="A23" s="371">
        <v>19</v>
      </c>
      <c r="B23" s="372" t="s">
        <v>328</v>
      </c>
      <c r="C23" s="372" t="s">
        <v>329</v>
      </c>
      <c r="D23" s="670" t="s">
        <v>605</v>
      </c>
      <c r="E23" s="670" t="s">
        <v>319</v>
      </c>
    </row>
    <row r="24" spans="1:5" ht="13.5" thickBot="1" x14ac:dyDescent="0.25">
      <c r="A24" s="371">
        <v>81</v>
      </c>
      <c r="B24" s="372" t="s">
        <v>330</v>
      </c>
      <c r="C24" s="372" t="s">
        <v>331</v>
      </c>
      <c r="D24" s="670" t="s">
        <v>312</v>
      </c>
      <c r="E24" s="670" t="s">
        <v>332</v>
      </c>
    </row>
    <row r="25" spans="1:5" ht="13.5" thickBot="1" x14ac:dyDescent="0.25">
      <c r="A25" s="371">
        <v>90</v>
      </c>
      <c r="B25" s="372" t="s">
        <v>333</v>
      </c>
      <c r="C25" s="372" t="s">
        <v>334</v>
      </c>
      <c r="D25" s="670" t="s">
        <v>602</v>
      </c>
      <c r="E25" s="670" t="s">
        <v>606</v>
      </c>
    </row>
    <row r="26" spans="1:5" ht="13.5" thickBot="1" x14ac:dyDescent="0.25">
      <c r="A26" s="371">
        <v>45</v>
      </c>
      <c r="B26" s="372" t="s">
        <v>335</v>
      </c>
      <c r="C26" s="372" t="s">
        <v>336</v>
      </c>
      <c r="D26" s="670" t="s">
        <v>602</v>
      </c>
      <c r="E26" s="670" t="s">
        <v>606</v>
      </c>
    </row>
    <row r="27" spans="1:5" ht="13.5" thickBot="1" x14ac:dyDescent="0.25">
      <c r="A27" s="371">
        <v>26</v>
      </c>
      <c r="B27" s="372" t="s">
        <v>337</v>
      </c>
      <c r="C27" s="372" t="s">
        <v>338</v>
      </c>
      <c r="D27" s="670" t="s">
        <v>602</v>
      </c>
      <c r="E27" s="670" t="s">
        <v>606</v>
      </c>
    </row>
    <row r="28" spans="1:5" ht="13.5" thickBot="1" x14ac:dyDescent="0.25">
      <c r="A28" s="371">
        <v>77</v>
      </c>
      <c r="B28" s="372" t="s">
        <v>339</v>
      </c>
      <c r="C28" s="372" t="s">
        <v>340</v>
      </c>
      <c r="D28" s="670" t="s">
        <v>281</v>
      </c>
      <c r="E28" s="670" t="s">
        <v>609</v>
      </c>
    </row>
    <row r="29" spans="1:5" ht="13.5" thickBot="1" x14ac:dyDescent="0.25">
      <c r="A29" s="371">
        <v>21</v>
      </c>
      <c r="B29" s="372" t="s">
        <v>341</v>
      </c>
      <c r="C29" s="372" t="s">
        <v>342</v>
      </c>
      <c r="D29" s="670" t="s">
        <v>281</v>
      </c>
      <c r="E29" s="670" t="s">
        <v>319</v>
      </c>
    </row>
    <row r="30" spans="1:5" ht="13.5" thickBot="1" x14ac:dyDescent="0.25">
      <c r="A30" s="371">
        <v>22</v>
      </c>
      <c r="B30" s="372" t="s">
        <v>343</v>
      </c>
      <c r="C30" s="372" t="s">
        <v>344</v>
      </c>
      <c r="D30" s="670" t="s">
        <v>602</v>
      </c>
      <c r="E30" s="670" t="s">
        <v>608</v>
      </c>
    </row>
    <row r="31" spans="1:5" ht="13.5" thickBot="1" x14ac:dyDescent="0.25">
      <c r="A31" s="371">
        <v>18</v>
      </c>
      <c r="B31" s="372" t="s">
        <v>345</v>
      </c>
      <c r="C31" s="372" t="s">
        <v>346</v>
      </c>
      <c r="D31" s="670" t="s">
        <v>604</v>
      </c>
      <c r="E31" s="670" t="s">
        <v>609</v>
      </c>
    </row>
    <row r="32" spans="1:5" ht="13.5" thickBot="1" x14ac:dyDescent="0.25">
      <c r="A32" s="371">
        <v>61</v>
      </c>
      <c r="B32" s="372" t="s">
        <v>347</v>
      </c>
      <c r="C32" s="372" t="s">
        <v>348</v>
      </c>
      <c r="D32" s="670" t="s">
        <v>281</v>
      </c>
      <c r="E32" s="670" t="s">
        <v>609</v>
      </c>
    </row>
    <row r="33" spans="1:5" ht="13.5" thickBot="1" x14ac:dyDescent="0.25">
      <c r="A33" s="371">
        <v>31</v>
      </c>
      <c r="B33" s="372" t="s">
        <v>349</v>
      </c>
      <c r="C33" s="372" t="s">
        <v>350</v>
      </c>
      <c r="D33" s="670" t="s">
        <v>604</v>
      </c>
      <c r="E33" s="670" t="s">
        <v>608</v>
      </c>
    </row>
    <row r="34" spans="1:5" ht="13.5" thickBot="1" x14ac:dyDescent="0.25">
      <c r="A34" s="371">
        <v>97</v>
      </c>
      <c r="B34" s="372" t="s">
        <v>351</v>
      </c>
      <c r="C34" s="372" t="s">
        <v>352</v>
      </c>
      <c r="D34" s="670" t="s">
        <v>312</v>
      </c>
      <c r="E34" s="670" t="s">
        <v>332</v>
      </c>
    </row>
    <row r="35" spans="1:5" ht="13.5" thickBot="1" x14ac:dyDescent="0.25">
      <c r="A35" s="371">
        <v>4</v>
      </c>
      <c r="B35" s="372" t="s">
        <v>353</v>
      </c>
      <c r="C35" s="372" t="s">
        <v>354</v>
      </c>
      <c r="D35" s="670" t="s">
        <v>604</v>
      </c>
      <c r="E35" s="670" t="s">
        <v>608</v>
      </c>
    </row>
    <row r="36" spans="1:5" ht="13.5" thickBot="1" x14ac:dyDescent="0.25">
      <c r="A36" s="371">
        <v>33</v>
      </c>
      <c r="B36" s="372" t="s">
        <v>355</v>
      </c>
      <c r="C36" s="372" t="s">
        <v>356</v>
      </c>
      <c r="D36" s="670" t="s">
        <v>602</v>
      </c>
      <c r="E36" s="670" t="s">
        <v>332</v>
      </c>
    </row>
    <row r="37" spans="1:5" ht="13.5" thickBot="1" x14ac:dyDescent="0.25">
      <c r="A37" s="371">
        <v>55</v>
      </c>
      <c r="B37" s="372" t="s">
        <v>357</v>
      </c>
      <c r="C37" s="372" t="s">
        <v>358</v>
      </c>
      <c r="D37" s="670" t="s">
        <v>604</v>
      </c>
      <c r="E37" s="670" t="s">
        <v>332</v>
      </c>
    </row>
    <row r="38" spans="1:5" ht="13.5" thickBot="1" x14ac:dyDescent="0.25">
      <c r="A38" s="371">
        <v>12</v>
      </c>
      <c r="B38" s="372" t="s">
        <v>359</v>
      </c>
      <c r="C38" s="372" t="s">
        <v>360</v>
      </c>
      <c r="D38" s="670" t="s">
        <v>604</v>
      </c>
      <c r="E38" s="670" t="s">
        <v>606</v>
      </c>
    </row>
    <row r="39" spans="1:5" ht="13.5" thickBot="1" x14ac:dyDescent="0.25">
      <c r="A39" s="371">
        <v>41</v>
      </c>
      <c r="B39" s="372" t="s">
        <v>361</v>
      </c>
      <c r="C39" s="372" t="s">
        <v>362</v>
      </c>
      <c r="D39" s="670" t="s">
        <v>602</v>
      </c>
      <c r="E39" s="670" t="s">
        <v>608</v>
      </c>
    </row>
    <row r="40" spans="1:5" ht="13.5" thickBot="1" x14ac:dyDescent="0.25">
      <c r="A40" s="371">
        <v>63</v>
      </c>
      <c r="B40" s="372" t="s">
        <v>363</v>
      </c>
      <c r="C40" s="372" t="s">
        <v>364</v>
      </c>
      <c r="D40" s="670" t="s">
        <v>602</v>
      </c>
      <c r="E40" s="670" t="s">
        <v>608</v>
      </c>
    </row>
    <row r="41" spans="1:5" ht="13.5" thickBot="1" x14ac:dyDescent="0.25">
      <c r="A41" s="371">
        <v>35</v>
      </c>
      <c r="B41" s="372" t="s">
        <v>365</v>
      </c>
      <c r="C41" s="372" t="s">
        <v>366</v>
      </c>
      <c r="D41" s="670" t="s">
        <v>604</v>
      </c>
      <c r="E41" s="670" t="s">
        <v>299</v>
      </c>
    </row>
    <row r="42" spans="1:5" ht="13.5" thickBot="1" x14ac:dyDescent="0.25">
      <c r="A42" s="371">
        <v>36</v>
      </c>
      <c r="B42" s="372" t="s">
        <v>367</v>
      </c>
      <c r="C42" s="372" t="s">
        <v>368</v>
      </c>
      <c r="D42" s="670" t="s">
        <v>604</v>
      </c>
      <c r="E42" s="670" t="s">
        <v>299</v>
      </c>
    </row>
    <row r="43" spans="1:5" ht="13.5" thickBot="1" x14ac:dyDescent="0.25">
      <c r="A43" s="371">
        <v>25</v>
      </c>
      <c r="B43" s="372" t="s">
        <v>369</v>
      </c>
      <c r="C43" s="372" t="s">
        <v>370</v>
      </c>
      <c r="D43" s="670" t="s">
        <v>602</v>
      </c>
      <c r="E43" s="670" t="s">
        <v>413</v>
      </c>
    </row>
    <row r="44" spans="1:5" ht="13.5" thickBot="1" x14ac:dyDescent="0.25">
      <c r="A44" s="371">
        <v>37</v>
      </c>
      <c r="B44" s="372" t="s">
        <v>371</v>
      </c>
      <c r="C44" s="372" t="s">
        <v>372</v>
      </c>
      <c r="D44" s="670" t="s">
        <v>604</v>
      </c>
      <c r="E44" s="670" t="s">
        <v>319</v>
      </c>
    </row>
    <row r="45" spans="1:5" ht="13.5" thickBot="1" x14ac:dyDescent="0.25">
      <c r="A45" s="371">
        <v>5</v>
      </c>
      <c r="B45" s="372" t="s">
        <v>373</v>
      </c>
      <c r="C45" s="372" t="s">
        <v>374</v>
      </c>
      <c r="D45" s="670" t="s">
        <v>281</v>
      </c>
      <c r="E45" s="670" t="s">
        <v>299</v>
      </c>
    </row>
    <row r="46" spans="1:5" ht="13.5" thickBot="1" x14ac:dyDescent="0.25">
      <c r="A46" s="371">
        <v>38</v>
      </c>
      <c r="B46" s="372" t="s">
        <v>375</v>
      </c>
      <c r="C46" s="372" t="s">
        <v>376</v>
      </c>
      <c r="D46" s="670" t="s">
        <v>604</v>
      </c>
      <c r="E46" s="670" t="s">
        <v>609</v>
      </c>
    </row>
    <row r="47" spans="1:5" ht="13.5" thickBot="1" x14ac:dyDescent="0.25">
      <c r="A47" s="371">
        <v>39</v>
      </c>
      <c r="B47" s="372" t="s">
        <v>377</v>
      </c>
      <c r="C47" s="372" t="s">
        <v>378</v>
      </c>
      <c r="D47" s="670" t="s">
        <v>604</v>
      </c>
      <c r="E47" s="670" t="s">
        <v>319</v>
      </c>
    </row>
    <row r="48" spans="1:5" ht="13.5" thickBot="1" x14ac:dyDescent="0.25">
      <c r="A48" s="371">
        <v>40</v>
      </c>
      <c r="B48" s="372" t="s">
        <v>379</v>
      </c>
      <c r="C48" s="372" t="s">
        <v>380</v>
      </c>
      <c r="D48" s="670" t="s">
        <v>281</v>
      </c>
      <c r="E48" s="670" t="s">
        <v>299</v>
      </c>
    </row>
    <row r="49" spans="1:5" ht="13.5" thickBot="1" x14ac:dyDescent="0.25">
      <c r="A49" s="371">
        <v>92</v>
      </c>
      <c r="B49" s="372" t="s">
        <v>381</v>
      </c>
      <c r="C49" s="372" t="s">
        <v>382</v>
      </c>
      <c r="D49" s="670" t="s">
        <v>281</v>
      </c>
      <c r="E49" s="670" t="s">
        <v>299</v>
      </c>
    </row>
    <row r="50" spans="1:5" ht="13.5" thickBot="1" x14ac:dyDescent="0.25">
      <c r="A50" s="371">
        <v>32</v>
      </c>
      <c r="B50" s="372" t="s">
        <v>383</v>
      </c>
      <c r="C50" s="372" t="s">
        <v>384</v>
      </c>
      <c r="D50" s="670" t="s">
        <v>281</v>
      </c>
      <c r="E50" s="670" t="s">
        <v>299</v>
      </c>
    </row>
    <row r="51" spans="1:5" ht="13.5" thickBot="1" x14ac:dyDescent="0.25">
      <c r="A51" s="371">
        <v>47</v>
      </c>
      <c r="B51" s="372" t="s">
        <v>385</v>
      </c>
      <c r="C51" s="372" t="s">
        <v>386</v>
      </c>
      <c r="D51" s="670" t="s">
        <v>281</v>
      </c>
      <c r="E51" s="670" t="s">
        <v>299</v>
      </c>
    </row>
    <row r="52" spans="1:5" ht="13.5" thickBot="1" x14ac:dyDescent="0.25">
      <c r="A52" s="371">
        <v>42</v>
      </c>
      <c r="B52" s="372" t="s">
        <v>387</v>
      </c>
      <c r="C52" s="372" t="s">
        <v>388</v>
      </c>
      <c r="D52" s="670" t="s">
        <v>281</v>
      </c>
      <c r="E52" s="670" t="s">
        <v>299</v>
      </c>
    </row>
    <row r="53" spans="1:5" ht="13.5" thickBot="1" x14ac:dyDescent="0.25">
      <c r="A53" s="371">
        <v>80</v>
      </c>
      <c r="B53" s="372" t="s">
        <v>389</v>
      </c>
      <c r="C53" s="372" t="s">
        <v>390</v>
      </c>
      <c r="D53" s="670" t="s">
        <v>604</v>
      </c>
      <c r="E53" s="670" t="s">
        <v>299</v>
      </c>
    </row>
    <row r="54" spans="1:5" ht="13.5" thickBot="1" x14ac:dyDescent="0.25">
      <c r="A54" s="371">
        <v>44</v>
      </c>
      <c r="B54" s="372" t="s">
        <v>391</v>
      </c>
      <c r="C54" s="372" t="s">
        <v>392</v>
      </c>
      <c r="D54" s="670" t="s">
        <v>281</v>
      </c>
      <c r="E54" s="670" t="s">
        <v>332</v>
      </c>
    </row>
    <row r="55" spans="1:5" ht="13.5" thickBot="1" x14ac:dyDescent="0.25">
      <c r="A55" s="371">
        <v>65</v>
      </c>
      <c r="B55" s="372" t="s">
        <v>393</v>
      </c>
      <c r="C55" s="372" t="s">
        <v>394</v>
      </c>
      <c r="D55" s="670" t="s">
        <v>602</v>
      </c>
      <c r="E55" s="670" t="s">
        <v>319</v>
      </c>
    </row>
    <row r="56" spans="1:5" ht="13.5" thickBot="1" x14ac:dyDescent="0.25">
      <c r="A56" s="371">
        <v>60</v>
      </c>
      <c r="B56" s="372" t="s">
        <v>395</v>
      </c>
      <c r="C56" s="372" t="s">
        <v>396</v>
      </c>
      <c r="D56" s="670" t="s">
        <v>604</v>
      </c>
      <c r="E56" s="670" t="s">
        <v>609</v>
      </c>
    </row>
    <row r="57" spans="1:5" ht="13.5" thickBot="1" x14ac:dyDescent="0.25">
      <c r="A57" s="371">
        <v>6</v>
      </c>
      <c r="B57" s="372" t="s">
        <v>397</v>
      </c>
      <c r="C57" s="372" t="s">
        <v>398</v>
      </c>
      <c r="D57" s="670" t="s">
        <v>604</v>
      </c>
      <c r="E57" s="670" t="s">
        <v>603</v>
      </c>
    </row>
    <row r="58" spans="1:5" ht="13.5" thickBot="1" x14ac:dyDescent="0.25">
      <c r="A58" s="371">
        <v>75</v>
      </c>
      <c r="B58" s="372" t="s">
        <v>399</v>
      </c>
      <c r="C58" s="372" t="s">
        <v>400</v>
      </c>
      <c r="D58" s="670" t="s">
        <v>281</v>
      </c>
      <c r="E58" s="670" t="s">
        <v>608</v>
      </c>
    </row>
    <row r="59" spans="1:5" ht="13.5" thickBot="1" x14ac:dyDescent="0.25">
      <c r="A59" s="371">
        <v>8</v>
      </c>
      <c r="B59" s="372" t="s">
        <v>401</v>
      </c>
      <c r="C59" s="372" t="s">
        <v>402</v>
      </c>
      <c r="D59" s="670" t="s">
        <v>605</v>
      </c>
      <c r="E59" s="670" t="s">
        <v>606</v>
      </c>
    </row>
    <row r="60" spans="1:5" ht="13.5" thickBot="1" x14ac:dyDescent="0.25">
      <c r="A60" s="371">
        <v>99</v>
      </c>
      <c r="B60" s="372" t="s">
        <v>403</v>
      </c>
      <c r="C60" s="372" t="s">
        <v>404</v>
      </c>
      <c r="D60" s="670" t="s">
        <v>312</v>
      </c>
      <c r="E60" s="670" t="s">
        <v>332</v>
      </c>
    </row>
    <row r="61" spans="1:5" ht="13.5" thickBot="1" x14ac:dyDescent="0.25">
      <c r="A61" s="371">
        <v>7</v>
      </c>
      <c r="B61" s="372" t="s">
        <v>405</v>
      </c>
      <c r="C61" s="372" t="s">
        <v>406</v>
      </c>
      <c r="D61" s="670" t="s">
        <v>602</v>
      </c>
      <c r="E61" s="670" t="s">
        <v>606</v>
      </c>
    </row>
    <row r="62" spans="1:5" ht="13.5" thickBot="1" x14ac:dyDescent="0.25">
      <c r="A62" s="371">
        <v>46</v>
      </c>
      <c r="B62" s="372" t="s">
        <v>407</v>
      </c>
      <c r="C62" s="372" t="s">
        <v>408</v>
      </c>
      <c r="D62" s="670" t="s">
        <v>604</v>
      </c>
      <c r="E62" s="670" t="s">
        <v>609</v>
      </c>
    </row>
    <row r="63" spans="1:5" ht="13.5" thickBot="1" x14ac:dyDescent="0.25">
      <c r="A63" s="371">
        <v>48</v>
      </c>
      <c r="B63" s="372" t="s">
        <v>409</v>
      </c>
      <c r="C63" s="372" t="s">
        <v>410</v>
      </c>
      <c r="D63" s="670" t="s">
        <v>604</v>
      </c>
      <c r="E63" s="670" t="s">
        <v>608</v>
      </c>
    </row>
    <row r="64" spans="1:5" s="375" customFormat="1" ht="13.5" thickBot="1" x14ac:dyDescent="0.25">
      <c r="A64" s="373"/>
      <c r="B64" s="374"/>
      <c r="C64" s="374"/>
      <c r="D64" s="374"/>
      <c r="E64" s="374"/>
    </row>
    <row r="65" spans="1:5" ht="13.5" thickBot="1" x14ac:dyDescent="0.25">
      <c r="A65" s="928" t="s">
        <v>411</v>
      </c>
      <c r="B65" s="929"/>
      <c r="C65" s="929"/>
      <c r="D65" s="928" t="s">
        <v>412</v>
      </c>
      <c r="E65" s="930"/>
    </row>
    <row r="66" spans="1:5" ht="13.5" thickBot="1" x14ac:dyDescent="0.25">
      <c r="A66" s="926" t="s">
        <v>413</v>
      </c>
      <c r="B66" s="927"/>
      <c r="C66" s="670" t="s">
        <v>414</v>
      </c>
      <c r="D66" s="673" t="s">
        <v>415</v>
      </c>
      <c r="E66" s="670" t="s">
        <v>416</v>
      </c>
    </row>
    <row r="67" spans="1:5" ht="13.5" thickBot="1" x14ac:dyDescent="0.25">
      <c r="A67" s="926" t="s">
        <v>332</v>
      </c>
      <c r="B67" s="927"/>
      <c r="C67" s="670" t="s">
        <v>430</v>
      </c>
      <c r="D67" s="671" t="s">
        <v>417</v>
      </c>
      <c r="E67" s="670" t="s">
        <v>418</v>
      </c>
    </row>
    <row r="68" spans="1:5" ht="13.5" thickBot="1" x14ac:dyDescent="0.25">
      <c r="A68" s="926" t="s">
        <v>319</v>
      </c>
      <c r="B68" s="927"/>
      <c r="C68" s="672" t="s">
        <v>419</v>
      </c>
      <c r="D68" s="673" t="s">
        <v>312</v>
      </c>
      <c r="E68" s="670" t="s">
        <v>610</v>
      </c>
    </row>
    <row r="69" spans="1:5" ht="24" customHeight="1" thickBot="1" x14ac:dyDescent="0.25">
      <c r="A69" s="931" t="s">
        <v>603</v>
      </c>
      <c r="B69" s="932"/>
      <c r="C69" s="670" t="s">
        <v>421</v>
      </c>
      <c r="D69" s="673" t="s">
        <v>304</v>
      </c>
      <c r="E69" s="670" t="s">
        <v>422</v>
      </c>
    </row>
    <row r="70" spans="1:5" ht="13.5" thickBot="1" x14ac:dyDescent="0.25">
      <c r="A70" s="926" t="s">
        <v>606</v>
      </c>
      <c r="B70" s="927"/>
      <c r="C70" s="670" t="s">
        <v>423</v>
      </c>
      <c r="D70" s="673" t="s">
        <v>281</v>
      </c>
      <c r="E70" s="670" t="s">
        <v>428</v>
      </c>
    </row>
    <row r="71" spans="1:5" ht="13.5" thickBot="1" x14ac:dyDescent="0.25">
      <c r="A71" s="926" t="s">
        <v>426</v>
      </c>
      <c r="B71" s="927"/>
      <c r="C71" s="670" t="s">
        <v>427</v>
      </c>
      <c r="D71" s="673" t="s">
        <v>605</v>
      </c>
      <c r="E71" s="670" t="s">
        <v>425</v>
      </c>
    </row>
    <row r="72" spans="1:5" ht="13.5" thickBot="1" x14ac:dyDescent="0.25">
      <c r="A72" s="926" t="s">
        <v>282</v>
      </c>
      <c r="B72" s="927"/>
      <c r="C72" s="672" t="s">
        <v>429</v>
      </c>
      <c r="D72" s="673" t="s">
        <v>604</v>
      </c>
      <c r="E72" s="670" t="s">
        <v>420</v>
      </c>
    </row>
    <row r="73" spans="1:5" ht="13.5" thickBot="1" x14ac:dyDescent="0.25">
      <c r="A73" s="934" t="s">
        <v>608</v>
      </c>
      <c r="B73" s="935"/>
      <c r="C73" s="672" t="s">
        <v>624</v>
      </c>
      <c r="D73" s="674" t="s">
        <v>602</v>
      </c>
      <c r="E73" s="675" t="s">
        <v>424</v>
      </c>
    </row>
    <row r="74" spans="1:5" ht="13.5" thickBot="1" x14ac:dyDescent="0.25">
      <c r="A74" s="926" t="s">
        <v>609</v>
      </c>
      <c r="B74" s="927"/>
      <c r="C74" s="672" t="s">
        <v>625</v>
      </c>
      <c r="D74" s="933"/>
      <c r="E74" s="933"/>
    </row>
    <row r="75" spans="1:5" x14ac:dyDescent="0.2">
      <c r="A75" s="375"/>
      <c r="B75" s="375"/>
      <c r="C75" s="375"/>
      <c r="D75" s="376"/>
      <c r="E75" s="376"/>
    </row>
    <row r="76" spans="1:5" x14ac:dyDescent="0.2">
      <c r="A76" s="370"/>
      <c r="B76" s="370"/>
      <c r="C76" s="370"/>
    </row>
    <row r="77" spans="1:5" x14ac:dyDescent="0.2">
      <c r="A77" s="370"/>
      <c r="B77" s="370"/>
      <c r="C77" s="370"/>
    </row>
    <row r="78" spans="1:5" x14ac:dyDescent="0.2">
      <c r="A78" s="370"/>
      <c r="B78" s="370"/>
      <c r="C78" s="370"/>
    </row>
    <row r="79" spans="1:5" x14ac:dyDescent="0.2">
      <c r="A79" s="370"/>
      <c r="B79" s="370"/>
      <c r="C79" s="370"/>
    </row>
    <row r="80" spans="1:5" x14ac:dyDescent="0.2">
      <c r="A80" s="370"/>
      <c r="B80" s="370"/>
      <c r="C80" s="370"/>
    </row>
    <row r="81" spans="1:3" x14ac:dyDescent="0.2">
      <c r="A81" s="370"/>
      <c r="B81" s="370"/>
      <c r="C81" s="370"/>
    </row>
  </sheetData>
  <autoFilter ref="A1:E63"/>
  <mergeCells count="12">
    <mergeCell ref="A74:B74"/>
    <mergeCell ref="A65:C65"/>
    <mergeCell ref="D65:E65"/>
    <mergeCell ref="A66:B66"/>
    <mergeCell ref="A67:B67"/>
    <mergeCell ref="A68:B68"/>
    <mergeCell ref="A69:B69"/>
    <mergeCell ref="A70:B70"/>
    <mergeCell ref="A71:B71"/>
    <mergeCell ref="A72:B72"/>
    <mergeCell ref="D74:E74"/>
    <mergeCell ref="A73:B73"/>
  </mergeCells>
  <printOptions horizontalCentered="1"/>
  <pageMargins left="0.75" right="0.75" top="1" bottom="1" header="0.5" footer="0.5"/>
  <pageSetup orientation="portrait" r:id="rId1"/>
  <headerFooter alignWithMargins="0">
    <oddHeader>&amp;CController's and Mayor's Office Budget Contacts</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8"/>
  <sheetViews>
    <sheetView topLeftCell="A13" workbookViewId="0">
      <selection activeCell="C12" sqref="C12"/>
    </sheetView>
  </sheetViews>
  <sheetFormatPr defaultColWidth="7.42578125" defaultRowHeight="12.75" x14ac:dyDescent="0.2"/>
  <cols>
    <col min="1" max="1" width="34.42578125" style="379" customWidth="1"/>
    <col min="2" max="2" width="9.7109375" style="379" customWidth="1"/>
    <col min="3" max="3" width="12.42578125" style="380" bestFit="1" customWidth="1"/>
    <col min="4" max="4" width="8.7109375" style="379" customWidth="1"/>
    <col min="5" max="5" width="7.42578125" style="379"/>
    <col min="6" max="7" width="12.7109375" style="379" customWidth="1"/>
    <col min="8" max="8" width="5.42578125" style="379" customWidth="1"/>
    <col min="9" max="9" width="10.28515625" style="379" customWidth="1"/>
    <col min="10" max="10" width="7.42578125" style="379"/>
    <col min="11" max="11" width="7.85546875" style="379" customWidth="1"/>
    <col min="12" max="12" width="8.42578125" style="379" customWidth="1"/>
    <col min="13" max="13" width="10.7109375" style="379" bestFit="1" customWidth="1"/>
    <col min="14" max="14" width="11.42578125" style="379" customWidth="1"/>
    <col min="15" max="15" width="9.42578125" style="379" customWidth="1"/>
    <col min="16" max="16" width="9.7109375" style="379" hidden="1" customWidth="1"/>
    <col min="17" max="16384" width="7.42578125" style="379"/>
  </cols>
  <sheetData>
    <row r="1" spans="1:16" s="486" customFormat="1" ht="18" x14ac:dyDescent="0.25">
      <c r="A1" s="489" t="s">
        <v>476</v>
      </c>
      <c r="B1" s="488"/>
      <c r="C1" s="487"/>
    </row>
    <row r="2" spans="1:16" ht="10.5" customHeight="1" x14ac:dyDescent="0.25">
      <c r="B2" s="398"/>
      <c r="I2" s="486"/>
      <c r="J2" s="486"/>
      <c r="K2" s="486"/>
      <c r="L2" s="486"/>
    </row>
    <row r="3" spans="1:16" x14ac:dyDescent="0.2">
      <c r="A3" s="406" t="s">
        <v>475</v>
      </c>
      <c r="B3" s="398"/>
      <c r="I3" s="937" t="s">
        <v>565</v>
      </c>
      <c r="J3" s="937"/>
      <c r="K3" s="937"/>
      <c r="L3" s="937"/>
      <c r="M3" s="937"/>
    </row>
    <row r="4" spans="1:16" x14ac:dyDescent="0.2">
      <c r="A4" s="406" t="s">
        <v>474</v>
      </c>
      <c r="B4" s="398"/>
      <c r="I4" s="937"/>
      <c r="J4" s="937"/>
      <c r="K4" s="937"/>
      <c r="L4" s="937"/>
      <c r="M4" s="937"/>
    </row>
    <row r="5" spans="1:16" x14ac:dyDescent="0.2">
      <c r="A5" s="398" t="s">
        <v>473</v>
      </c>
      <c r="B5" s="398"/>
      <c r="I5" s="937"/>
      <c r="J5" s="937"/>
      <c r="K5" s="937"/>
      <c r="L5" s="937"/>
      <c r="M5" s="937"/>
    </row>
    <row r="6" spans="1:16" x14ac:dyDescent="0.2">
      <c r="A6" s="391" t="s">
        <v>477</v>
      </c>
      <c r="B6" s="398"/>
    </row>
    <row r="7" spans="1:16" ht="17.25" customHeight="1" x14ac:dyDescent="0.25">
      <c r="A7" s="382"/>
      <c r="B7" s="398"/>
      <c r="I7" s="485" t="s">
        <v>472</v>
      </c>
    </row>
    <row r="8" spans="1:16" x14ac:dyDescent="0.2">
      <c r="A8" s="481" t="s">
        <v>471</v>
      </c>
      <c r="B8" s="398"/>
      <c r="H8" s="484"/>
    </row>
    <row r="9" spans="1:16" x14ac:dyDescent="0.2">
      <c r="A9" s="481"/>
      <c r="B9" s="398"/>
      <c r="I9" s="481" t="s">
        <v>470</v>
      </c>
      <c r="K9" s="483"/>
    </row>
    <row r="10" spans="1:16" x14ac:dyDescent="0.2">
      <c r="A10" s="482" t="s">
        <v>469</v>
      </c>
      <c r="J10" s="481"/>
    </row>
    <row r="11" spans="1:16" ht="40.5" customHeight="1" x14ac:dyDescent="0.2">
      <c r="A11" s="480" t="s">
        <v>468</v>
      </c>
      <c r="B11" s="479" t="s">
        <v>467</v>
      </c>
      <c r="C11" s="478" t="s">
        <v>466</v>
      </c>
      <c r="D11" s="477" t="s">
        <v>465</v>
      </c>
      <c r="E11" s="477"/>
      <c r="F11" s="476" t="s">
        <v>464</v>
      </c>
      <c r="G11" s="475" t="s">
        <v>463</v>
      </c>
      <c r="H11" s="474"/>
      <c r="I11" s="473" t="s">
        <v>462</v>
      </c>
      <c r="J11" s="472" t="s">
        <v>461</v>
      </c>
      <c r="K11" s="471" t="s">
        <v>457</v>
      </c>
      <c r="L11" s="471" t="s">
        <v>460</v>
      </c>
      <c r="M11" s="471" t="s">
        <v>459</v>
      </c>
      <c r="N11" s="471" t="s">
        <v>458</v>
      </c>
      <c r="O11" s="470" t="s">
        <v>457</v>
      </c>
    </row>
    <row r="12" spans="1:16" x14ac:dyDescent="0.2">
      <c r="A12" s="469"/>
      <c r="B12" s="468"/>
      <c r="C12" s="467"/>
      <c r="D12" s="466"/>
      <c r="E12" s="466"/>
      <c r="F12" s="465">
        <f t="shared" ref="F12:F22" si="0">C12*D12*26.1</f>
        <v>0</v>
      </c>
      <c r="G12" s="464">
        <f t="shared" ref="G12:G22" si="1">C12*E12*26.1</f>
        <v>0</v>
      </c>
      <c r="H12" s="463"/>
      <c r="I12" s="462"/>
      <c r="J12" s="457"/>
      <c r="K12" s="435"/>
      <c r="L12" s="444"/>
      <c r="M12" s="435">
        <f t="shared" ref="M12:M22" si="2">F12*L12</f>
        <v>0</v>
      </c>
      <c r="N12" s="435">
        <f t="shared" ref="N12:N22" si="3">G12*L12</f>
        <v>0</v>
      </c>
      <c r="O12" s="449">
        <f t="shared" ref="O12:O22" si="4">C12*K12</f>
        <v>0</v>
      </c>
      <c r="P12" s="588" t="s">
        <v>456</v>
      </c>
    </row>
    <row r="13" spans="1:16" x14ac:dyDescent="0.2">
      <c r="A13" s="443"/>
      <c r="B13" s="460"/>
      <c r="C13" s="459"/>
      <c r="D13" s="440"/>
      <c r="E13" s="440"/>
      <c r="F13" s="452">
        <f t="shared" si="0"/>
        <v>0</v>
      </c>
      <c r="G13" s="451">
        <f t="shared" si="1"/>
        <v>0</v>
      </c>
      <c r="H13" s="415"/>
      <c r="I13" s="458"/>
      <c r="J13" s="457"/>
      <c r="K13" s="435"/>
      <c r="L13" s="444"/>
      <c r="M13" s="435">
        <f t="shared" si="2"/>
        <v>0</v>
      </c>
      <c r="N13" s="435">
        <f t="shared" si="3"/>
        <v>0</v>
      </c>
      <c r="O13" s="449">
        <f t="shared" si="4"/>
        <v>0</v>
      </c>
      <c r="P13" s="588" t="s">
        <v>455</v>
      </c>
    </row>
    <row r="14" spans="1:16" x14ac:dyDescent="0.2">
      <c r="A14" s="443"/>
      <c r="B14" s="460"/>
      <c r="C14" s="459"/>
      <c r="D14" s="440"/>
      <c r="E14" s="440"/>
      <c r="F14" s="452">
        <f t="shared" si="0"/>
        <v>0</v>
      </c>
      <c r="G14" s="451">
        <f t="shared" si="1"/>
        <v>0</v>
      </c>
      <c r="H14" s="415"/>
      <c r="I14" s="458"/>
      <c r="J14" s="457"/>
      <c r="K14" s="435"/>
      <c r="L14" s="444"/>
      <c r="M14" s="435">
        <f t="shared" si="2"/>
        <v>0</v>
      </c>
      <c r="N14" s="435">
        <f t="shared" si="3"/>
        <v>0</v>
      </c>
      <c r="O14" s="449">
        <f t="shared" si="4"/>
        <v>0</v>
      </c>
      <c r="P14" s="588" t="s">
        <v>454</v>
      </c>
    </row>
    <row r="15" spans="1:16" x14ac:dyDescent="0.2">
      <c r="A15" s="443"/>
      <c r="B15" s="460"/>
      <c r="C15" s="459"/>
      <c r="D15" s="440"/>
      <c r="E15" s="440"/>
      <c r="F15" s="452">
        <f t="shared" si="0"/>
        <v>0</v>
      </c>
      <c r="G15" s="451">
        <f t="shared" si="1"/>
        <v>0</v>
      </c>
      <c r="H15" s="415"/>
      <c r="I15" s="458"/>
      <c r="J15" s="457"/>
      <c r="K15" s="435"/>
      <c r="L15" s="444"/>
      <c r="M15" s="435">
        <f t="shared" si="2"/>
        <v>0</v>
      </c>
      <c r="N15" s="435">
        <f t="shared" si="3"/>
        <v>0</v>
      </c>
      <c r="O15" s="449">
        <f t="shared" si="4"/>
        <v>0</v>
      </c>
      <c r="P15" s="588" t="s">
        <v>453</v>
      </c>
    </row>
    <row r="16" spans="1:16" x14ac:dyDescent="0.2">
      <c r="A16" s="443"/>
      <c r="B16" s="460"/>
      <c r="C16" s="459"/>
      <c r="D16" s="440"/>
      <c r="E16" s="440"/>
      <c r="F16" s="452">
        <f t="shared" si="0"/>
        <v>0</v>
      </c>
      <c r="G16" s="451">
        <f t="shared" si="1"/>
        <v>0</v>
      </c>
      <c r="H16" s="415"/>
      <c r="I16" s="458"/>
      <c r="J16" s="457"/>
      <c r="K16" s="435"/>
      <c r="L16" s="444"/>
      <c r="M16" s="435">
        <f t="shared" si="2"/>
        <v>0</v>
      </c>
      <c r="N16" s="435">
        <f t="shared" si="3"/>
        <v>0</v>
      </c>
      <c r="O16" s="449">
        <f t="shared" si="4"/>
        <v>0</v>
      </c>
      <c r="P16" s="588"/>
    </row>
    <row r="17" spans="1:16" x14ac:dyDescent="0.2">
      <c r="A17" s="443"/>
      <c r="B17" s="461"/>
      <c r="C17" s="459"/>
      <c r="D17" s="440"/>
      <c r="E17" s="440"/>
      <c r="F17" s="452">
        <f t="shared" si="0"/>
        <v>0</v>
      </c>
      <c r="G17" s="451">
        <f t="shared" si="1"/>
        <v>0</v>
      </c>
      <c r="H17" s="415"/>
      <c r="I17" s="458"/>
      <c r="J17" s="457"/>
      <c r="K17" s="435"/>
      <c r="L17" s="444"/>
      <c r="M17" s="435">
        <f t="shared" si="2"/>
        <v>0</v>
      </c>
      <c r="N17" s="435">
        <f t="shared" si="3"/>
        <v>0</v>
      </c>
      <c r="O17" s="449">
        <f t="shared" si="4"/>
        <v>0</v>
      </c>
      <c r="P17" s="588"/>
    </row>
    <row r="18" spans="1:16" x14ac:dyDescent="0.2">
      <c r="A18" s="443"/>
      <c r="B18" s="460"/>
      <c r="C18" s="459"/>
      <c r="D18" s="440"/>
      <c r="E18" s="440"/>
      <c r="F18" s="452">
        <f t="shared" si="0"/>
        <v>0</v>
      </c>
      <c r="G18" s="451">
        <f t="shared" si="1"/>
        <v>0</v>
      </c>
      <c r="H18" s="415"/>
      <c r="I18" s="458"/>
      <c r="J18" s="457"/>
      <c r="K18" s="435"/>
      <c r="L18" s="444"/>
      <c r="M18" s="435">
        <f t="shared" si="2"/>
        <v>0</v>
      </c>
      <c r="N18" s="435">
        <f t="shared" si="3"/>
        <v>0</v>
      </c>
      <c r="O18" s="449">
        <f t="shared" si="4"/>
        <v>0</v>
      </c>
      <c r="P18" s="588"/>
    </row>
    <row r="19" spans="1:16" x14ac:dyDescent="0.2">
      <c r="A19" s="443"/>
      <c r="B19" s="460"/>
      <c r="C19" s="459"/>
      <c r="D19" s="440"/>
      <c r="E19" s="440"/>
      <c r="F19" s="452">
        <f t="shared" si="0"/>
        <v>0</v>
      </c>
      <c r="G19" s="451">
        <f t="shared" si="1"/>
        <v>0</v>
      </c>
      <c r="H19" s="415"/>
      <c r="I19" s="458"/>
      <c r="J19" s="457"/>
      <c r="K19" s="435"/>
      <c r="L19" s="444"/>
      <c r="M19" s="435">
        <f t="shared" si="2"/>
        <v>0</v>
      </c>
      <c r="N19" s="435">
        <f t="shared" si="3"/>
        <v>0</v>
      </c>
      <c r="O19" s="449">
        <f t="shared" si="4"/>
        <v>0</v>
      </c>
      <c r="P19" s="588"/>
    </row>
    <row r="20" spans="1:16" ht="13.5" customHeight="1" x14ac:dyDescent="0.2">
      <c r="A20" s="443"/>
      <c r="B20" s="460"/>
      <c r="C20" s="459"/>
      <c r="D20" s="440"/>
      <c r="E20" s="440"/>
      <c r="F20" s="452">
        <f t="shared" si="0"/>
        <v>0</v>
      </c>
      <c r="G20" s="451">
        <f t="shared" si="1"/>
        <v>0</v>
      </c>
      <c r="H20" s="415"/>
      <c r="I20" s="458"/>
      <c r="J20" s="457"/>
      <c r="K20" s="435"/>
      <c r="L20" s="444"/>
      <c r="M20" s="435">
        <f t="shared" si="2"/>
        <v>0</v>
      </c>
      <c r="N20" s="435">
        <f t="shared" si="3"/>
        <v>0</v>
      </c>
      <c r="O20" s="449">
        <f t="shared" si="4"/>
        <v>0</v>
      </c>
    </row>
    <row r="21" spans="1:16" ht="13.5" customHeight="1" x14ac:dyDescent="0.2">
      <c r="A21" s="443"/>
      <c r="B21" s="460"/>
      <c r="C21" s="459"/>
      <c r="D21" s="440"/>
      <c r="E21" s="440"/>
      <c r="F21" s="452">
        <f t="shared" si="0"/>
        <v>0</v>
      </c>
      <c r="G21" s="451">
        <f t="shared" si="1"/>
        <v>0</v>
      </c>
      <c r="H21" s="415"/>
      <c r="I21" s="458"/>
      <c r="J21" s="457"/>
      <c r="K21" s="435"/>
      <c r="L21" s="444"/>
      <c r="M21" s="435">
        <f t="shared" si="2"/>
        <v>0</v>
      </c>
      <c r="N21" s="435">
        <f t="shared" si="3"/>
        <v>0</v>
      </c>
      <c r="O21" s="449">
        <f t="shared" si="4"/>
        <v>0</v>
      </c>
    </row>
    <row r="22" spans="1:16" x14ac:dyDescent="0.2">
      <c r="A22" s="443"/>
      <c r="B22" s="460"/>
      <c r="C22" s="459"/>
      <c r="D22" s="440"/>
      <c r="E22" s="440"/>
      <c r="F22" s="452">
        <f t="shared" si="0"/>
        <v>0</v>
      </c>
      <c r="G22" s="451">
        <f t="shared" si="1"/>
        <v>0</v>
      </c>
      <c r="H22" s="415"/>
      <c r="I22" s="458"/>
      <c r="J22" s="457"/>
      <c r="K22" s="435"/>
      <c r="L22" s="444"/>
      <c r="M22" s="435">
        <f t="shared" si="2"/>
        <v>0</v>
      </c>
      <c r="N22" s="435">
        <f t="shared" si="3"/>
        <v>0</v>
      </c>
      <c r="O22" s="449">
        <f t="shared" si="4"/>
        <v>0</v>
      </c>
    </row>
    <row r="23" spans="1:16" ht="6" customHeight="1" x14ac:dyDescent="0.2">
      <c r="A23" s="456"/>
      <c r="B23" s="455"/>
      <c r="C23" s="454"/>
      <c r="D23" s="453"/>
      <c r="E23" s="453"/>
      <c r="F23" s="452"/>
      <c r="G23" s="451"/>
      <c r="H23" s="415"/>
      <c r="I23" s="450"/>
      <c r="J23" s="446"/>
      <c r="K23" s="435"/>
      <c r="L23" s="444"/>
      <c r="M23" s="435"/>
      <c r="N23" s="435"/>
      <c r="O23" s="449"/>
    </row>
    <row r="24" spans="1:16" x14ac:dyDescent="0.2">
      <c r="A24" s="443" t="s">
        <v>452</v>
      </c>
      <c r="B24" s="442"/>
      <c r="C24" s="441"/>
      <c r="D24" s="440"/>
      <c r="E24" s="440"/>
      <c r="F24" s="439">
        <f>SUM(F12:F22)/260*11*1.5*0.5</f>
        <v>0</v>
      </c>
      <c r="G24" s="438">
        <f>SUM(G12:G22)/260*11*1.5*0.5</f>
        <v>0</v>
      </c>
      <c r="H24" s="415"/>
      <c r="I24" s="447" t="s">
        <v>449</v>
      </c>
      <c r="J24" s="446"/>
      <c r="K24" s="445" t="s">
        <v>449</v>
      </c>
      <c r="L24" s="444"/>
      <c r="M24" s="435">
        <f>F24*L24</f>
        <v>0</v>
      </c>
      <c r="N24" s="435">
        <f>G24*L24</f>
        <v>0</v>
      </c>
      <c r="O24" s="448" t="s">
        <v>449</v>
      </c>
    </row>
    <row r="25" spans="1:16" x14ac:dyDescent="0.2">
      <c r="A25" s="443" t="s">
        <v>451</v>
      </c>
      <c r="B25" s="442"/>
      <c r="C25" s="441"/>
      <c r="D25" s="440"/>
      <c r="E25" s="440"/>
      <c r="F25" s="439">
        <f>SUM(F12:F22)*0.085*0.333</f>
        <v>0</v>
      </c>
      <c r="G25" s="438">
        <f>SUM(G12:G22)*0.085*0.333</f>
        <v>0</v>
      </c>
      <c r="H25" s="415"/>
      <c r="I25" s="447" t="s">
        <v>449</v>
      </c>
      <c r="J25" s="446"/>
      <c r="K25" s="445" t="s">
        <v>449</v>
      </c>
      <c r="L25" s="444"/>
      <c r="M25" s="435">
        <f>F25*L25</f>
        <v>0</v>
      </c>
      <c r="N25" s="435">
        <f>G25*L25</f>
        <v>0</v>
      </c>
      <c r="O25" s="434" t="s">
        <v>449</v>
      </c>
    </row>
    <row r="26" spans="1:16" x14ac:dyDescent="0.2">
      <c r="A26" s="443" t="s">
        <v>450</v>
      </c>
      <c r="B26" s="442"/>
      <c r="C26" s="441"/>
      <c r="D26" s="440"/>
      <c r="E26" s="440"/>
      <c r="F26" s="439">
        <v>0</v>
      </c>
      <c r="G26" s="438">
        <v>0</v>
      </c>
      <c r="H26" s="415"/>
      <c r="I26" s="447" t="s">
        <v>449</v>
      </c>
      <c r="J26" s="446"/>
      <c r="K26" s="445" t="s">
        <v>449</v>
      </c>
      <c r="L26" s="444"/>
      <c r="M26" s="435">
        <f>F26*L26</f>
        <v>0</v>
      </c>
      <c r="N26" s="435">
        <f>G26*L26</f>
        <v>0</v>
      </c>
      <c r="O26" s="434" t="s">
        <v>449</v>
      </c>
    </row>
    <row r="27" spans="1:16" x14ac:dyDescent="0.2">
      <c r="A27" s="443" t="s">
        <v>448</v>
      </c>
      <c r="B27" s="442"/>
      <c r="C27" s="441"/>
      <c r="D27" s="440"/>
      <c r="E27" s="440"/>
      <c r="F27" s="439">
        <v>0</v>
      </c>
      <c r="G27" s="438">
        <v>0</v>
      </c>
      <c r="H27" s="415"/>
      <c r="I27" s="427"/>
      <c r="J27" s="426"/>
      <c r="K27" s="437"/>
      <c r="L27" s="436"/>
      <c r="M27" s="435"/>
      <c r="N27" s="435"/>
      <c r="O27" s="434"/>
    </row>
    <row r="28" spans="1:16" ht="12.75" customHeight="1" x14ac:dyDescent="0.2">
      <c r="A28" s="433" t="s">
        <v>447</v>
      </c>
      <c r="B28" s="432"/>
      <c r="C28" s="431">
        <f>SUM(C12:C22)</f>
        <v>0</v>
      </c>
      <c r="D28" s="430" t="s">
        <v>435</v>
      </c>
      <c r="E28" s="429"/>
      <c r="F28" s="428">
        <f>SUM(F12:F27)</f>
        <v>0</v>
      </c>
      <c r="G28" s="423">
        <f>SUM(G12:G27)</f>
        <v>0</v>
      </c>
      <c r="H28" s="412"/>
      <c r="I28" s="427"/>
      <c r="J28" s="426"/>
      <c r="K28" s="425"/>
      <c r="L28" s="425"/>
      <c r="M28" s="424">
        <f>SUM(M12:M26)</f>
        <v>0</v>
      </c>
      <c r="N28" s="424">
        <f>SUM(N12:N26)</f>
        <v>0</v>
      </c>
      <c r="O28" s="423">
        <f>SUM(O12:O26)</f>
        <v>0</v>
      </c>
    </row>
    <row r="29" spans="1:16" ht="12.75" customHeight="1" x14ac:dyDescent="0.2">
      <c r="A29" s="398"/>
      <c r="B29" s="398"/>
      <c r="C29" s="399"/>
      <c r="D29" s="398"/>
      <c r="E29" s="398"/>
      <c r="F29" s="398"/>
      <c r="G29" s="398"/>
      <c r="H29" s="398"/>
      <c r="I29" s="420"/>
    </row>
    <row r="30" spans="1:16" x14ac:dyDescent="0.2">
      <c r="A30" s="422" t="s">
        <v>446</v>
      </c>
      <c r="B30" s="391"/>
      <c r="C30" s="421" t="s">
        <v>435</v>
      </c>
      <c r="D30" s="391"/>
      <c r="E30" s="391"/>
      <c r="F30" s="391"/>
      <c r="G30" s="391"/>
      <c r="H30" s="391"/>
      <c r="I30" s="420"/>
    </row>
    <row r="31" spans="1:16" x14ac:dyDescent="0.2">
      <c r="A31" s="419" t="s">
        <v>445</v>
      </c>
      <c r="B31" s="404" t="s">
        <v>435</v>
      </c>
      <c r="C31" s="418" t="s">
        <v>435</v>
      </c>
      <c r="D31" s="417" t="s">
        <v>435</v>
      </c>
      <c r="E31" s="404"/>
      <c r="F31" s="416">
        <v>0</v>
      </c>
      <c r="G31" s="416">
        <v>0</v>
      </c>
      <c r="H31" s="415"/>
    </row>
    <row r="32" spans="1:16" x14ac:dyDescent="0.2">
      <c r="A32" s="417" t="s">
        <v>444</v>
      </c>
      <c r="B32" s="417" t="s">
        <v>435</v>
      </c>
      <c r="C32" s="418" t="s">
        <v>435</v>
      </c>
      <c r="D32" s="417" t="s">
        <v>435</v>
      </c>
      <c r="E32" s="404"/>
      <c r="F32" s="416">
        <v>0</v>
      </c>
      <c r="G32" s="416">
        <v>0</v>
      </c>
      <c r="H32" s="415"/>
    </row>
    <row r="33" spans="1:8" x14ac:dyDescent="0.2">
      <c r="A33" s="414" t="s">
        <v>443</v>
      </c>
      <c r="B33" s="404"/>
      <c r="C33" s="405"/>
      <c r="D33" s="404"/>
      <c r="E33" s="404"/>
      <c r="F33" s="413">
        <f>F31+F32</f>
        <v>0</v>
      </c>
      <c r="G33" s="413">
        <f>G31+G32</f>
        <v>0</v>
      </c>
      <c r="H33" s="412"/>
    </row>
    <row r="34" spans="1:8" ht="12.75" customHeight="1" x14ac:dyDescent="0.2">
      <c r="A34" s="391"/>
      <c r="B34" s="391"/>
      <c r="C34" s="392"/>
      <c r="D34" s="391"/>
      <c r="E34" s="391"/>
      <c r="F34" s="391"/>
      <c r="G34" s="391"/>
      <c r="H34" s="391"/>
    </row>
    <row r="35" spans="1:8" x14ac:dyDescent="0.2">
      <c r="A35" s="411" t="s">
        <v>442</v>
      </c>
      <c r="B35" s="406"/>
      <c r="C35" s="410"/>
      <c r="D35" s="404"/>
      <c r="E35" s="404"/>
      <c r="F35" s="406"/>
      <c r="G35" s="406"/>
      <c r="H35" s="398"/>
    </row>
    <row r="36" spans="1:8" x14ac:dyDescent="0.2">
      <c r="A36" s="938"/>
      <c r="B36" s="938"/>
      <c r="C36" s="938"/>
      <c r="D36" s="938"/>
      <c r="E36" s="938"/>
      <c r="F36" s="406">
        <v>0</v>
      </c>
      <c r="G36" s="409">
        <f>F36</f>
        <v>0</v>
      </c>
      <c r="H36" s="398"/>
    </row>
    <row r="37" spans="1:8" x14ac:dyDescent="0.2">
      <c r="A37" s="938"/>
      <c r="B37" s="938"/>
      <c r="C37" s="938"/>
      <c r="D37" s="938"/>
      <c r="E37" s="938"/>
      <c r="F37" s="406">
        <v>0</v>
      </c>
      <c r="G37" s="409">
        <f>F37</f>
        <v>0</v>
      </c>
      <c r="H37" s="398"/>
    </row>
    <row r="38" spans="1:8" x14ac:dyDescent="0.2">
      <c r="A38" s="938"/>
      <c r="B38" s="938"/>
      <c r="C38" s="938"/>
      <c r="D38" s="938"/>
      <c r="E38" s="938"/>
      <c r="F38" s="406">
        <v>0</v>
      </c>
      <c r="G38" s="409">
        <f>F38</f>
        <v>0</v>
      </c>
      <c r="H38" s="398"/>
    </row>
    <row r="39" spans="1:8" x14ac:dyDescent="0.2">
      <c r="A39" s="938"/>
      <c r="B39" s="938"/>
      <c r="C39" s="938"/>
      <c r="D39" s="938"/>
      <c r="E39" s="938"/>
      <c r="F39" s="406">
        <v>0</v>
      </c>
      <c r="G39" s="408">
        <f>F39</f>
        <v>0</v>
      </c>
      <c r="H39" s="398"/>
    </row>
    <row r="40" spans="1:8" x14ac:dyDescent="0.2">
      <c r="A40" s="407" t="s">
        <v>441</v>
      </c>
      <c r="B40" s="406"/>
      <c r="C40" s="405"/>
      <c r="D40" s="404"/>
      <c r="E40" s="404"/>
      <c r="F40" s="403">
        <f>SUM(F36:F39)</f>
        <v>0</v>
      </c>
      <c r="G40" s="403">
        <f>SUM(G36:G39)</f>
        <v>0</v>
      </c>
      <c r="H40" s="401"/>
    </row>
    <row r="41" spans="1:8" ht="12.75" customHeight="1" x14ac:dyDescent="0.2">
      <c r="A41" s="391"/>
      <c r="B41" s="398"/>
      <c r="C41" s="392"/>
      <c r="D41" s="391"/>
      <c r="E41" s="391"/>
      <c r="F41" s="391"/>
      <c r="G41" s="391"/>
      <c r="H41" s="391"/>
    </row>
    <row r="42" spans="1:8" x14ac:dyDescent="0.2">
      <c r="A42" s="400" t="s">
        <v>440</v>
      </c>
      <c r="B42" s="391"/>
      <c r="C42" s="392"/>
      <c r="D42" s="391"/>
      <c r="E42" s="391"/>
      <c r="F42" s="402">
        <f>F28+F33+F40</f>
        <v>0</v>
      </c>
      <c r="G42" s="402">
        <f>G28+G33+G40</f>
        <v>0</v>
      </c>
      <c r="H42" s="401"/>
    </row>
    <row r="43" spans="1:8" x14ac:dyDescent="0.2">
      <c r="A43" s="391"/>
      <c r="B43" s="391"/>
      <c r="C43" s="392"/>
      <c r="D43" s="391"/>
      <c r="E43" s="391"/>
      <c r="F43" s="391"/>
      <c r="G43" s="391"/>
      <c r="H43" s="391"/>
    </row>
    <row r="44" spans="1:8" x14ac:dyDescent="0.2">
      <c r="A44" s="400" t="s">
        <v>439</v>
      </c>
      <c r="B44" s="398"/>
      <c r="C44" s="399"/>
      <c r="D44" s="398"/>
      <c r="E44" s="398"/>
      <c r="F44" s="398">
        <f>-('Prop J Contract Cost Detail'!F5+'Prop J Contract Cost Detail'!P10+'Prop J Contract Cost Detail'!P14)</f>
        <v>0</v>
      </c>
      <c r="G44" s="397">
        <f>-('Prop J Contract Cost Detail'!G5+'Prop J Contract Cost Detail'!Q10+'Prop J Contract Cost Detail'!Q14)</f>
        <v>0</v>
      </c>
      <c r="H44" s="396"/>
    </row>
    <row r="45" spans="1:8" x14ac:dyDescent="0.2">
      <c r="A45" s="391"/>
      <c r="B45" s="391"/>
      <c r="C45" s="392"/>
      <c r="D45" s="391"/>
      <c r="E45" s="391"/>
      <c r="F45" s="395"/>
      <c r="G45" s="395"/>
      <c r="H45" s="394"/>
    </row>
    <row r="46" spans="1:8" ht="13.5" thickBot="1" x14ac:dyDescent="0.25">
      <c r="A46" s="393" t="s">
        <v>438</v>
      </c>
      <c r="B46" s="391"/>
      <c r="C46" s="392"/>
      <c r="D46" s="391"/>
      <c r="E46" s="391"/>
      <c r="F46" s="390">
        <f>F42+F44</f>
        <v>0</v>
      </c>
      <c r="G46" s="390">
        <f>G42+G44</f>
        <v>0</v>
      </c>
      <c r="H46" s="389"/>
    </row>
    <row r="47" spans="1:8" ht="13.5" thickTop="1" x14ac:dyDescent="0.2">
      <c r="A47" s="388" t="s">
        <v>437</v>
      </c>
      <c r="F47" s="387" t="e">
        <f>F46/F42</f>
        <v>#DIV/0!</v>
      </c>
      <c r="G47" s="387" t="e">
        <f>G46/G42</f>
        <v>#DIV/0!</v>
      </c>
      <c r="H47" s="386"/>
    </row>
    <row r="48" spans="1:8" x14ac:dyDescent="0.2">
      <c r="F48" s="385"/>
      <c r="G48" s="385"/>
      <c r="H48" s="385"/>
    </row>
    <row r="49" spans="1:15" x14ac:dyDescent="0.2">
      <c r="A49" s="384" t="s">
        <v>436</v>
      </c>
      <c r="C49" s="383" t="s">
        <v>435</v>
      </c>
    </row>
    <row r="50" spans="1:15" x14ac:dyDescent="0.2">
      <c r="A50" s="939" t="s">
        <v>434</v>
      </c>
      <c r="B50" s="939"/>
      <c r="C50" s="939"/>
      <c r="D50" s="939"/>
      <c r="E50" s="939"/>
      <c r="F50" s="939"/>
      <c r="G50" s="939"/>
      <c r="H50" s="589"/>
      <c r="I50" s="589"/>
      <c r="J50" s="589"/>
      <c r="K50" s="589"/>
      <c r="L50" s="589"/>
      <c r="M50" s="589"/>
      <c r="N50" s="589"/>
      <c r="O50" s="589"/>
    </row>
    <row r="51" spans="1:15" x14ac:dyDescent="0.2">
      <c r="A51" s="940" t="s">
        <v>562</v>
      </c>
      <c r="B51" s="941"/>
      <c r="C51" s="941"/>
      <c r="D51" s="941"/>
      <c r="E51" s="941"/>
      <c r="F51" s="941"/>
      <c r="G51" s="941"/>
      <c r="H51" s="589"/>
      <c r="I51" s="589"/>
      <c r="J51" s="589"/>
      <c r="K51" s="589"/>
      <c r="L51" s="589"/>
      <c r="M51" s="589"/>
      <c r="N51" s="589"/>
      <c r="O51" s="589"/>
    </row>
    <row r="52" spans="1:15" ht="24.75" customHeight="1" x14ac:dyDescent="0.2">
      <c r="A52" s="936" t="s">
        <v>433</v>
      </c>
      <c r="B52" s="936"/>
      <c r="C52" s="936"/>
      <c r="D52" s="936"/>
      <c r="E52" s="936"/>
      <c r="F52" s="936"/>
      <c r="G52" s="936"/>
      <c r="H52" s="589"/>
      <c r="I52" s="589"/>
      <c r="J52" s="589"/>
      <c r="K52" s="589"/>
      <c r="L52" s="589"/>
      <c r="M52" s="589"/>
      <c r="N52" s="589"/>
      <c r="O52" s="589"/>
    </row>
    <row r="53" spans="1:15" x14ac:dyDescent="0.2">
      <c r="A53" s="382" t="s">
        <v>432</v>
      </c>
      <c r="B53" s="589"/>
      <c r="C53" s="589"/>
      <c r="D53" s="589"/>
      <c r="E53" s="589"/>
      <c r="F53" s="589"/>
      <c r="G53" s="589"/>
      <c r="H53" s="589"/>
      <c r="I53" s="589"/>
      <c r="J53" s="589"/>
      <c r="K53" s="589"/>
      <c r="L53" s="589"/>
      <c r="M53" s="589"/>
      <c r="N53" s="589"/>
      <c r="O53" s="589"/>
    </row>
    <row r="54" spans="1:15" x14ac:dyDescent="0.2">
      <c r="A54" s="590" t="s">
        <v>431</v>
      </c>
      <c r="B54" s="590"/>
      <c r="C54" s="590"/>
      <c r="D54" s="590"/>
      <c r="E54" s="590"/>
      <c r="F54" s="590"/>
      <c r="G54" s="590"/>
    </row>
    <row r="55" spans="1:15" x14ac:dyDescent="0.2">
      <c r="A55" s="590"/>
      <c r="B55" s="590"/>
      <c r="C55" s="590"/>
      <c r="D55" s="590"/>
      <c r="E55" s="590"/>
      <c r="F55" s="590"/>
      <c r="G55" s="590"/>
    </row>
    <row r="56" spans="1:15" x14ac:dyDescent="0.2">
      <c r="A56" s="590"/>
      <c r="B56" s="590"/>
      <c r="C56" s="590"/>
      <c r="D56" s="590"/>
      <c r="E56" s="590"/>
      <c r="F56" s="590"/>
      <c r="G56" s="590"/>
    </row>
    <row r="57" spans="1:15" x14ac:dyDescent="0.2">
      <c r="A57" s="590"/>
      <c r="B57" s="590"/>
      <c r="C57" s="590"/>
      <c r="D57" s="590"/>
      <c r="E57" s="590"/>
      <c r="F57" s="590"/>
      <c r="G57" s="590"/>
    </row>
    <row r="58" spans="1:15" x14ac:dyDescent="0.2">
      <c r="A58" s="589"/>
      <c r="B58" s="589"/>
      <c r="C58" s="589"/>
      <c r="D58" s="589"/>
      <c r="E58" s="589"/>
      <c r="F58" s="589"/>
      <c r="G58" s="589"/>
    </row>
  </sheetData>
  <mergeCells count="8">
    <mergeCell ref="A52:G52"/>
    <mergeCell ref="I3:M5"/>
    <mergeCell ref="A36:E36"/>
    <mergeCell ref="A37:E37"/>
    <mergeCell ref="A38:E38"/>
    <mergeCell ref="A39:E39"/>
    <mergeCell ref="A50:G50"/>
    <mergeCell ref="A51:G51"/>
  </mergeCells>
  <dataValidations count="1">
    <dataValidation type="list" allowBlank="1" showInputMessage="1" showErrorMessage="1" error="Please enter either an S or a C." sqref="I12:I22">
      <formula1>$P$12:$P$13</formula1>
    </dataValidation>
  </dataValidations>
  <pageMargins left="0.16" right="0.16" top="0.26" bottom="0.33" header="0.19" footer="0.16"/>
  <pageSetup scale="62" orientation="portrait" r:id="rId1"/>
  <headerFooter alignWithMargins="0">
    <oddFooter>&amp;R&amp;Z&amp;F,  &amp;A</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7"/>
  <sheetViews>
    <sheetView zoomScaleNormal="100" workbookViewId="0">
      <selection activeCell="P29" sqref="P29"/>
    </sheetView>
  </sheetViews>
  <sheetFormatPr defaultRowHeight="12.75" x14ac:dyDescent="0.2"/>
  <cols>
    <col min="1" max="8" width="9.140625" style="502"/>
    <col min="9" max="9" width="3" style="502" customWidth="1"/>
    <col min="10" max="10" width="9.140625" style="502"/>
    <col min="11" max="11" width="13" style="502" customWidth="1"/>
    <col min="12" max="15" width="9.140625" style="502"/>
    <col min="16" max="16" width="11.140625" style="502" customWidth="1"/>
    <col min="17" max="17" width="11.28515625" style="502" customWidth="1"/>
    <col min="18" max="16384" width="9.140625" style="502"/>
  </cols>
  <sheetData>
    <row r="1" spans="1:18" s="491" customFormat="1" ht="18" x14ac:dyDescent="0.25">
      <c r="A1" s="490" t="s">
        <v>476</v>
      </c>
      <c r="C1" s="492"/>
      <c r="F1" s="502"/>
      <c r="G1" s="502"/>
      <c r="H1" s="502"/>
      <c r="I1" s="502"/>
      <c r="J1" s="502"/>
      <c r="K1" s="502"/>
      <c r="L1" s="502"/>
      <c r="M1" s="502"/>
      <c r="N1" s="502"/>
      <c r="O1" s="502"/>
      <c r="P1" s="502"/>
      <c r="Q1" s="502"/>
    </row>
    <row r="2" spans="1:18" s="491" customFormat="1" x14ac:dyDescent="0.2">
      <c r="A2" s="502"/>
      <c r="B2" s="502"/>
      <c r="C2" s="502"/>
      <c r="D2" s="502"/>
      <c r="E2" s="502"/>
      <c r="F2" s="502"/>
      <c r="G2" s="502"/>
      <c r="H2" s="502"/>
      <c r="I2" s="502"/>
      <c r="J2" s="502"/>
      <c r="K2" s="502"/>
      <c r="L2" s="502"/>
      <c r="M2" s="502"/>
      <c r="N2" s="502"/>
      <c r="O2" s="502"/>
      <c r="P2" s="502"/>
      <c r="Q2" s="502"/>
    </row>
    <row r="3" spans="1:18" ht="15.75" x14ac:dyDescent="0.25">
      <c r="A3" s="602" t="s">
        <v>566</v>
      </c>
      <c r="B3" s="603"/>
      <c r="J3" s="604" t="s">
        <v>567</v>
      </c>
      <c r="K3" s="603"/>
      <c r="L3" s="391"/>
      <c r="M3" s="391"/>
      <c r="N3" s="491"/>
      <c r="O3" s="491"/>
      <c r="P3" s="491"/>
      <c r="Q3" s="491"/>
      <c r="R3" s="491"/>
    </row>
    <row r="4" spans="1:18" x14ac:dyDescent="0.2">
      <c r="F4" s="605" t="s">
        <v>464</v>
      </c>
      <c r="G4" s="605" t="s">
        <v>463</v>
      </c>
      <c r="H4" s="381"/>
      <c r="R4" s="491"/>
    </row>
    <row r="5" spans="1:18" ht="12.75" customHeight="1" x14ac:dyDescent="0.2">
      <c r="A5" s="944" t="s">
        <v>568</v>
      </c>
      <c r="B5" s="945"/>
      <c r="C5" s="945"/>
      <c r="D5" s="945"/>
      <c r="E5" s="946"/>
      <c r="F5" s="606"/>
      <c r="G5" s="606"/>
      <c r="H5" s="381"/>
      <c r="J5" s="947" t="s">
        <v>569</v>
      </c>
      <c r="K5" s="948"/>
      <c r="L5" s="948"/>
      <c r="M5" s="948"/>
      <c r="N5" s="949"/>
      <c r="O5" s="953"/>
      <c r="P5" s="954"/>
      <c r="Q5" s="955"/>
      <c r="R5" s="491"/>
    </row>
    <row r="6" spans="1:18" x14ac:dyDescent="0.2">
      <c r="A6" s="607"/>
      <c r="B6" s="607"/>
      <c r="C6" s="607"/>
      <c r="D6" s="607"/>
      <c r="E6" s="607"/>
      <c r="F6" s="518"/>
      <c r="G6" s="518"/>
      <c r="H6" s="381"/>
      <c r="J6" s="950"/>
      <c r="K6" s="951"/>
      <c r="L6" s="951"/>
      <c r="M6" s="951"/>
      <c r="N6" s="952"/>
      <c r="O6" s="956"/>
      <c r="P6" s="957"/>
      <c r="Q6" s="958"/>
      <c r="R6" s="491"/>
    </row>
    <row r="7" spans="1:18" x14ac:dyDescent="0.2">
      <c r="A7" s="391"/>
      <c r="B7" s="391"/>
      <c r="C7" s="391"/>
      <c r="D7" s="391"/>
      <c r="E7" s="391"/>
      <c r="F7" s="391"/>
      <c r="G7" s="491"/>
      <c r="H7" s="491"/>
      <c r="J7" s="491"/>
      <c r="K7" s="491"/>
      <c r="L7" s="491"/>
      <c r="M7" s="491"/>
      <c r="N7" s="491"/>
      <c r="O7" s="491"/>
      <c r="P7" s="491"/>
      <c r="Q7" s="491"/>
      <c r="R7" s="491"/>
    </row>
    <row r="8" spans="1:18" x14ac:dyDescent="0.2">
      <c r="J8" s="497" t="s">
        <v>570</v>
      </c>
      <c r="K8" s="497"/>
      <c r="L8" s="394"/>
      <c r="M8" s="394"/>
      <c r="N8" s="491"/>
      <c r="O8" s="491"/>
      <c r="P8" s="491"/>
      <c r="Q8" s="491"/>
      <c r="R8" s="491"/>
    </row>
    <row r="9" spans="1:18" ht="15" x14ac:dyDescent="0.25">
      <c r="A9" s="608" t="s">
        <v>571</v>
      </c>
      <c r="J9" s="609" t="s">
        <v>572</v>
      </c>
      <c r="K9" s="959" t="s">
        <v>468</v>
      </c>
      <c r="L9" s="959"/>
      <c r="M9" s="610" t="s">
        <v>573</v>
      </c>
      <c r="N9" s="960" t="s">
        <v>574</v>
      </c>
      <c r="O9" s="961"/>
      <c r="P9" s="611" t="s">
        <v>575</v>
      </c>
      <c r="Q9" s="612" t="s">
        <v>463</v>
      </c>
      <c r="R9" s="491"/>
    </row>
    <row r="10" spans="1:18" ht="12.75" customHeight="1" x14ac:dyDescent="0.2">
      <c r="A10" s="942" t="s">
        <v>576</v>
      </c>
      <c r="B10" s="942"/>
      <c r="C10" s="942"/>
      <c r="D10" s="942"/>
      <c r="E10" s="942"/>
      <c r="F10" s="942"/>
      <c r="G10" s="942"/>
      <c r="H10" s="942"/>
      <c r="J10" s="613"/>
      <c r="K10" s="943"/>
      <c r="L10" s="943"/>
      <c r="M10" s="614"/>
      <c r="N10" s="615"/>
      <c r="O10" s="616"/>
      <c r="P10" s="611">
        <f>M10*N10*26.1</f>
        <v>0</v>
      </c>
      <c r="Q10" s="612">
        <f>M10*O10*26.1</f>
        <v>0</v>
      </c>
      <c r="R10" s="491"/>
    </row>
    <row r="11" spans="1:18" x14ac:dyDescent="0.2">
      <c r="A11" s="942"/>
      <c r="B11" s="942"/>
      <c r="C11" s="942"/>
      <c r="D11" s="942"/>
      <c r="E11" s="942"/>
      <c r="F11" s="942"/>
      <c r="G11" s="942"/>
      <c r="H11" s="942"/>
      <c r="J11" s="497" t="s">
        <v>577</v>
      </c>
      <c r="K11" s="497"/>
      <c r="L11" s="394"/>
      <c r="M11" s="617"/>
      <c r="N11" s="491"/>
      <c r="O11" s="491"/>
      <c r="P11" s="491"/>
      <c r="Q11" s="491"/>
      <c r="R11" s="491"/>
    </row>
    <row r="12" spans="1:18" x14ac:dyDescent="0.2">
      <c r="J12" s="963" t="s">
        <v>461</v>
      </c>
      <c r="K12" s="965" t="s">
        <v>457</v>
      </c>
      <c r="L12" s="966" t="s">
        <v>460</v>
      </c>
      <c r="M12" s="966" t="s">
        <v>459</v>
      </c>
      <c r="N12" s="966" t="s">
        <v>458</v>
      </c>
      <c r="O12" s="966" t="s">
        <v>578</v>
      </c>
      <c r="P12" s="966" t="s">
        <v>579</v>
      </c>
      <c r="Q12" s="966" t="s">
        <v>580</v>
      </c>
      <c r="R12" s="491"/>
    </row>
    <row r="13" spans="1:18" x14ac:dyDescent="0.2">
      <c r="J13" s="964"/>
      <c r="K13" s="965"/>
      <c r="L13" s="966"/>
      <c r="M13" s="966"/>
      <c r="N13" s="966"/>
      <c r="O13" s="966"/>
      <c r="P13" s="966"/>
      <c r="Q13" s="966"/>
      <c r="R13" s="491"/>
    </row>
    <row r="14" spans="1:18" x14ac:dyDescent="0.2">
      <c r="J14" s="618"/>
      <c r="K14" s="619"/>
      <c r="L14" s="620"/>
      <c r="M14" s="619">
        <f>P10*L14</f>
        <v>0</v>
      </c>
      <c r="N14" s="619">
        <f>Q10*L14</f>
        <v>0</v>
      </c>
      <c r="O14" s="619">
        <f>K14*M10</f>
        <v>0</v>
      </c>
      <c r="P14" s="619">
        <f>M14+O14</f>
        <v>0</v>
      </c>
      <c r="Q14" s="619">
        <f>N14+O14</f>
        <v>0</v>
      </c>
      <c r="R14" s="491"/>
    </row>
    <row r="16" spans="1:18" ht="15.75" customHeight="1" x14ac:dyDescent="0.2"/>
    <row r="19" spans="1:8" ht="15.75" customHeight="1" x14ac:dyDescent="0.2"/>
    <row r="23" spans="1:8" ht="30" customHeight="1" x14ac:dyDescent="0.2"/>
    <row r="25" spans="1:8" ht="12.75" customHeight="1" x14ac:dyDescent="0.2"/>
    <row r="28" spans="1:8" ht="25.5" customHeight="1" x14ac:dyDescent="0.2"/>
    <row r="31" spans="1:8" x14ac:dyDescent="0.2">
      <c r="A31" s="621"/>
      <c r="B31" s="621"/>
      <c r="C31" s="621"/>
      <c r="D31" s="621"/>
      <c r="E31" s="621"/>
      <c r="F31" s="621"/>
      <c r="G31" s="621"/>
      <c r="H31" s="621"/>
    </row>
    <row r="32" spans="1:8" x14ac:dyDescent="0.2">
      <c r="A32" s="967" t="s">
        <v>581</v>
      </c>
      <c r="B32" s="967"/>
      <c r="C32" s="967"/>
      <c r="D32" s="967"/>
      <c r="E32" s="967"/>
      <c r="F32" s="967"/>
      <c r="G32" s="967"/>
      <c r="H32" s="967"/>
    </row>
    <row r="33" spans="1:8" ht="28.5" customHeight="1" x14ac:dyDescent="0.2">
      <c r="A33" s="968" t="s">
        <v>582</v>
      </c>
      <c r="B33" s="968"/>
      <c r="C33" s="968"/>
      <c r="D33" s="968"/>
      <c r="E33" s="968"/>
      <c r="F33" s="968"/>
      <c r="G33" s="968"/>
      <c r="H33" s="968"/>
    </row>
    <row r="34" spans="1:8" x14ac:dyDescent="0.2">
      <c r="A34" s="962" t="s">
        <v>583</v>
      </c>
      <c r="B34" s="962"/>
      <c r="C34" s="962"/>
      <c r="D34" s="962"/>
      <c r="E34" s="962"/>
      <c r="F34" s="962"/>
      <c r="G34" s="962"/>
      <c r="H34" s="962"/>
    </row>
    <row r="35" spans="1:8" x14ac:dyDescent="0.2">
      <c r="A35" s="962" t="s">
        <v>584</v>
      </c>
      <c r="B35" s="962"/>
      <c r="C35" s="962"/>
      <c r="D35" s="962"/>
      <c r="E35" s="962"/>
      <c r="F35" s="962"/>
      <c r="G35" s="962"/>
      <c r="H35" s="962"/>
    </row>
    <row r="36" spans="1:8" x14ac:dyDescent="0.2">
      <c r="A36" s="962" t="s">
        <v>585</v>
      </c>
      <c r="B36" s="962"/>
      <c r="C36" s="962"/>
      <c r="D36" s="962"/>
      <c r="E36" s="962"/>
      <c r="F36" s="962"/>
      <c r="G36" s="962"/>
      <c r="H36" s="962"/>
    </row>
    <row r="37" spans="1:8" x14ac:dyDescent="0.2">
      <c r="A37" s="962" t="s">
        <v>586</v>
      </c>
      <c r="B37" s="962"/>
      <c r="C37" s="962"/>
      <c r="D37" s="962"/>
      <c r="E37" s="962"/>
      <c r="F37" s="962"/>
      <c r="G37" s="962"/>
      <c r="H37" s="962"/>
    </row>
    <row r="38" spans="1:8" x14ac:dyDescent="0.2">
      <c r="A38" s="621"/>
      <c r="B38" s="621"/>
      <c r="C38" s="621"/>
      <c r="D38" s="621"/>
      <c r="E38" s="621"/>
      <c r="F38" s="621"/>
      <c r="G38" s="621"/>
      <c r="H38" s="621"/>
    </row>
    <row r="39" spans="1:8" x14ac:dyDescent="0.2">
      <c r="A39" s="969" t="s">
        <v>587</v>
      </c>
      <c r="B39" s="969"/>
      <c r="C39" s="969"/>
      <c r="D39" s="969"/>
      <c r="E39" s="969"/>
      <c r="F39" s="969"/>
      <c r="G39" s="969"/>
      <c r="H39" s="969"/>
    </row>
    <row r="40" spans="1:8" x14ac:dyDescent="0.2">
      <c r="A40" s="962"/>
      <c r="B40" s="962"/>
      <c r="C40" s="962"/>
      <c r="D40" s="962"/>
      <c r="E40" s="962"/>
      <c r="F40" s="962"/>
      <c r="G40" s="962"/>
      <c r="H40" s="962"/>
    </row>
    <row r="41" spans="1:8" x14ac:dyDescent="0.2">
      <c r="A41" s="962"/>
      <c r="B41" s="962"/>
      <c r="C41" s="962"/>
      <c r="D41" s="962"/>
      <c r="E41" s="962"/>
      <c r="F41" s="962"/>
      <c r="G41" s="962"/>
      <c r="H41" s="962"/>
    </row>
    <row r="42" spans="1:8" x14ac:dyDescent="0.2">
      <c r="A42" s="969" t="s">
        <v>588</v>
      </c>
      <c r="B42" s="969"/>
      <c r="C42" s="969"/>
      <c r="D42" s="969"/>
      <c r="E42" s="969"/>
      <c r="F42" s="969"/>
      <c r="G42" s="969"/>
      <c r="H42" s="969"/>
    </row>
    <row r="43" spans="1:8" x14ac:dyDescent="0.2">
      <c r="A43" s="962"/>
      <c r="B43" s="962"/>
      <c r="C43" s="962"/>
      <c r="D43" s="962"/>
      <c r="E43" s="962"/>
      <c r="F43" s="962"/>
      <c r="G43" s="962"/>
      <c r="H43" s="962"/>
    </row>
    <row r="44" spans="1:8" x14ac:dyDescent="0.2">
      <c r="A44" s="962"/>
      <c r="B44" s="962"/>
      <c r="C44" s="962"/>
      <c r="D44" s="962"/>
      <c r="E44" s="962"/>
      <c r="F44" s="962"/>
      <c r="G44" s="962"/>
      <c r="H44" s="962"/>
    </row>
    <row r="45" spans="1:8" ht="26.25" customHeight="1" x14ac:dyDescent="0.2">
      <c r="A45" s="969" t="s">
        <v>589</v>
      </c>
      <c r="B45" s="969"/>
      <c r="C45" s="969"/>
      <c r="D45" s="969"/>
      <c r="E45" s="969"/>
      <c r="F45" s="969"/>
      <c r="G45" s="969"/>
      <c r="H45" s="969"/>
    </row>
    <row r="46" spans="1:8" x14ac:dyDescent="0.2">
      <c r="A46" s="970"/>
      <c r="B46" s="970"/>
      <c r="C46" s="970"/>
      <c r="D46" s="970"/>
      <c r="E46" s="970"/>
      <c r="F46" s="970"/>
      <c r="G46" s="970"/>
      <c r="H46" s="970"/>
    </row>
    <row r="47" spans="1:8" x14ac:dyDescent="0.2">
      <c r="A47" s="970"/>
      <c r="B47" s="970"/>
      <c r="C47" s="970"/>
      <c r="D47" s="970"/>
      <c r="E47" s="970"/>
      <c r="F47" s="970"/>
      <c r="G47" s="970"/>
      <c r="H47" s="970"/>
    </row>
  </sheetData>
  <mergeCells count="27">
    <mergeCell ref="A45:H45"/>
    <mergeCell ref="A46:H47"/>
    <mergeCell ref="A36:H36"/>
    <mergeCell ref="A37:H37"/>
    <mergeCell ref="A39:H39"/>
    <mergeCell ref="A40:H41"/>
    <mergeCell ref="A42:H42"/>
    <mergeCell ref="A43:H44"/>
    <mergeCell ref="P12:P13"/>
    <mergeCell ref="Q12:Q13"/>
    <mergeCell ref="A32:H32"/>
    <mergeCell ref="A33:H33"/>
    <mergeCell ref="A34:H34"/>
    <mergeCell ref="N12:N13"/>
    <mergeCell ref="O12:O13"/>
    <mergeCell ref="A35:H35"/>
    <mergeCell ref="J12:J13"/>
    <mergeCell ref="K12:K13"/>
    <mergeCell ref="L12:L13"/>
    <mergeCell ref="M12:M13"/>
    <mergeCell ref="A10:H11"/>
    <mergeCell ref="K10:L10"/>
    <mergeCell ref="A5:E5"/>
    <mergeCell ref="J5:N6"/>
    <mergeCell ref="O5:Q6"/>
    <mergeCell ref="K9:L9"/>
    <mergeCell ref="N9:O9"/>
  </mergeCells>
  <pageMargins left="0.7" right="0.7" top="0.75" bottom="0.75" header="0.3" footer="0.3"/>
  <pageSetup scale="76" orientation="landscape" r:id="rId1"/>
  <headerFooter>
    <oddFooter>&amp;R&amp;8&amp;Z&amp;F, &amp;A</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8"/>
  <sheetViews>
    <sheetView topLeftCell="A7" workbookViewId="0">
      <selection activeCell="F46" sqref="F46"/>
    </sheetView>
  </sheetViews>
  <sheetFormatPr defaultColWidth="7.42578125" defaultRowHeight="12.75" x14ac:dyDescent="0.2"/>
  <cols>
    <col min="1" max="1" width="34.42578125" style="379" customWidth="1"/>
    <col min="2" max="2" width="9.7109375" style="379" customWidth="1"/>
    <col min="3" max="3" width="12.42578125" style="380" bestFit="1" customWidth="1"/>
    <col min="4" max="4" width="8.7109375" style="379" customWidth="1"/>
    <col min="5" max="5" width="7.42578125" style="379"/>
    <col min="6" max="7" width="12.7109375" style="379" customWidth="1"/>
    <col min="8" max="8" width="5.42578125" style="379" customWidth="1"/>
    <col min="9" max="9" width="10.28515625" style="379" customWidth="1"/>
    <col min="10" max="10" width="7.42578125" style="379"/>
    <col min="11" max="11" width="7.85546875" style="379" customWidth="1"/>
    <col min="12" max="12" width="8.42578125" style="379" customWidth="1"/>
    <col min="13" max="13" width="10.7109375" style="379" bestFit="1" customWidth="1"/>
    <col min="14" max="14" width="11.42578125" style="379" customWidth="1"/>
    <col min="15" max="15" width="9.42578125" style="379" customWidth="1"/>
    <col min="16" max="16" width="9.7109375" style="379" hidden="1" customWidth="1"/>
    <col min="17" max="16384" width="7.42578125" style="379"/>
  </cols>
  <sheetData>
    <row r="1" spans="1:16" s="486" customFormat="1" ht="18" x14ac:dyDescent="0.25">
      <c r="A1" s="489" t="s">
        <v>476</v>
      </c>
      <c r="B1" s="488"/>
      <c r="C1" s="487"/>
    </row>
    <row r="2" spans="1:16" ht="10.5" customHeight="1" x14ac:dyDescent="0.25">
      <c r="B2" s="398"/>
      <c r="I2" s="486"/>
      <c r="J2" s="486"/>
      <c r="K2" s="486"/>
      <c r="L2" s="486"/>
    </row>
    <row r="3" spans="1:16" x14ac:dyDescent="0.2">
      <c r="A3" s="391" t="s">
        <v>737</v>
      </c>
      <c r="B3" s="398"/>
      <c r="I3" s="937" t="s">
        <v>565</v>
      </c>
      <c r="J3" s="937"/>
      <c r="K3" s="937"/>
      <c r="L3" s="937"/>
      <c r="M3" s="937"/>
    </row>
    <row r="4" spans="1:16" x14ac:dyDescent="0.2">
      <c r="A4" s="391" t="s">
        <v>738</v>
      </c>
      <c r="B4" s="398"/>
      <c r="I4" s="937"/>
      <c r="J4" s="937"/>
      <c r="K4" s="937"/>
      <c r="L4" s="937"/>
      <c r="M4" s="937"/>
    </row>
    <row r="5" spans="1:16" x14ac:dyDescent="0.2">
      <c r="A5" s="398" t="s">
        <v>473</v>
      </c>
      <c r="B5" s="398"/>
      <c r="I5" s="937"/>
      <c r="J5" s="937"/>
      <c r="K5" s="937"/>
      <c r="L5" s="937"/>
      <c r="M5" s="937"/>
    </row>
    <row r="6" spans="1:16" x14ac:dyDescent="0.2">
      <c r="A6" s="591" t="s">
        <v>563</v>
      </c>
      <c r="B6" s="398"/>
    </row>
    <row r="7" spans="1:16" ht="17.25" customHeight="1" x14ac:dyDescent="0.25">
      <c r="A7" s="382"/>
      <c r="B7" s="398"/>
      <c r="I7" s="485" t="s">
        <v>472</v>
      </c>
    </row>
    <row r="8" spans="1:16" x14ac:dyDescent="0.2">
      <c r="A8" s="481" t="s">
        <v>471</v>
      </c>
      <c r="B8" s="398"/>
      <c r="H8" s="484"/>
    </row>
    <row r="9" spans="1:16" x14ac:dyDescent="0.2">
      <c r="A9" s="481"/>
      <c r="B9" s="398"/>
      <c r="I9" s="481" t="s">
        <v>470</v>
      </c>
      <c r="K9" s="483"/>
    </row>
    <row r="10" spans="1:16" x14ac:dyDescent="0.2">
      <c r="A10" s="482" t="s">
        <v>469</v>
      </c>
      <c r="J10" s="481"/>
    </row>
    <row r="11" spans="1:16" ht="40.5" customHeight="1" x14ac:dyDescent="0.2">
      <c r="A11" s="480" t="s">
        <v>468</v>
      </c>
      <c r="B11" s="479" t="s">
        <v>467</v>
      </c>
      <c r="C11" s="478" t="s">
        <v>466</v>
      </c>
      <c r="D11" s="477" t="s">
        <v>465</v>
      </c>
      <c r="E11" s="477"/>
      <c r="F11" s="479" t="s">
        <v>464</v>
      </c>
      <c r="G11" s="731" t="s">
        <v>463</v>
      </c>
      <c r="H11" s="474"/>
      <c r="I11" s="473" t="s">
        <v>462</v>
      </c>
      <c r="J11" s="472" t="s">
        <v>461</v>
      </c>
      <c r="K11" s="471" t="s">
        <v>457</v>
      </c>
      <c r="L11" s="471" t="s">
        <v>460</v>
      </c>
      <c r="M11" s="471" t="s">
        <v>459</v>
      </c>
      <c r="N11" s="471" t="s">
        <v>458</v>
      </c>
      <c r="O11" s="470" t="s">
        <v>457</v>
      </c>
    </row>
    <row r="12" spans="1:16" x14ac:dyDescent="0.2">
      <c r="A12" s="469" t="s">
        <v>739</v>
      </c>
      <c r="B12" s="468" t="s">
        <v>740</v>
      </c>
      <c r="C12" s="467">
        <v>10</v>
      </c>
      <c r="D12" s="720">
        <v>1477</v>
      </c>
      <c r="E12" s="720">
        <v>1791</v>
      </c>
      <c r="F12" s="732">
        <f t="shared" ref="F12:F14" si="0">C12*D12*26.1</f>
        <v>385497</v>
      </c>
      <c r="G12" s="733">
        <f t="shared" ref="G12:G14" si="1">C12*E12*26.1</f>
        <v>467451</v>
      </c>
      <c r="H12" s="463"/>
      <c r="I12" s="462"/>
      <c r="J12" s="457"/>
      <c r="K12" s="435"/>
      <c r="L12" s="444"/>
      <c r="M12" s="435">
        <f t="shared" ref="M12:M22" si="2">F12*L12</f>
        <v>0</v>
      </c>
      <c r="N12" s="435">
        <f t="shared" ref="N12:N22" si="3">G12*L12</f>
        <v>0</v>
      </c>
      <c r="O12" s="449">
        <f t="shared" ref="O12:O22" si="4">C12*K12</f>
        <v>0</v>
      </c>
      <c r="P12" s="588" t="s">
        <v>456</v>
      </c>
    </row>
    <row r="13" spans="1:16" x14ac:dyDescent="0.2">
      <c r="A13" s="443" t="s">
        <v>741</v>
      </c>
      <c r="B13" s="461" t="s">
        <v>742</v>
      </c>
      <c r="C13" s="459">
        <v>0.1</v>
      </c>
      <c r="D13" s="720">
        <v>2521</v>
      </c>
      <c r="E13" s="720">
        <v>3064</v>
      </c>
      <c r="F13" s="723">
        <f t="shared" si="0"/>
        <v>6579.8100000000013</v>
      </c>
      <c r="G13" s="724">
        <f t="shared" si="1"/>
        <v>7997.0400000000009</v>
      </c>
      <c r="H13" s="415"/>
      <c r="I13" s="458"/>
      <c r="J13" s="457"/>
      <c r="K13" s="435"/>
      <c r="L13" s="444"/>
      <c r="M13" s="435">
        <f t="shared" si="2"/>
        <v>0</v>
      </c>
      <c r="N13" s="435">
        <f t="shared" si="3"/>
        <v>0</v>
      </c>
      <c r="O13" s="449">
        <f t="shared" si="4"/>
        <v>0</v>
      </c>
      <c r="P13" s="588" t="s">
        <v>455</v>
      </c>
    </row>
    <row r="14" spans="1:16" x14ac:dyDescent="0.2">
      <c r="A14" s="443" t="s">
        <v>743</v>
      </c>
      <c r="B14" s="461" t="s">
        <v>744</v>
      </c>
      <c r="C14" s="459">
        <v>0.1</v>
      </c>
      <c r="D14" s="720">
        <v>1858</v>
      </c>
      <c r="E14" s="720">
        <v>2258</v>
      </c>
      <c r="F14" s="723">
        <f t="shared" si="0"/>
        <v>4849.38</v>
      </c>
      <c r="G14" s="724">
        <f t="shared" si="1"/>
        <v>5893.380000000001</v>
      </c>
      <c r="H14" s="415"/>
      <c r="I14" s="458"/>
      <c r="J14" s="457"/>
      <c r="K14" s="435"/>
      <c r="L14" s="444"/>
      <c r="M14" s="435">
        <f t="shared" si="2"/>
        <v>0</v>
      </c>
      <c r="N14" s="435">
        <f t="shared" si="3"/>
        <v>0</v>
      </c>
      <c r="O14" s="449">
        <f t="shared" si="4"/>
        <v>0</v>
      </c>
      <c r="P14" s="588" t="s">
        <v>454</v>
      </c>
    </row>
    <row r="15" spans="1:16" x14ac:dyDescent="0.2">
      <c r="A15" s="443"/>
      <c r="B15" s="460"/>
      <c r="C15" s="459"/>
      <c r="D15" s="440"/>
      <c r="E15" s="440"/>
      <c r="F15" s="723"/>
      <c r="G15" s="724"/>
      <c r="H15" s="415"/>
      <c r="I15" s="458"/>
      <c r="J15" s="457"/>
      <c r="K15" s="435"/>
      <c r="L15" s="444"/>
      <c r="M15" s="435">
        <f t="shared" si="2"/>
        <v>0</v>
      </c>
      <c r="N15" s="435">
        <f t="shared" si="3"/>
        <v>0</v>
      </c>
      <c r="O15" s="449">
        <f t="shared" si="4"/>
        <v>0</v>
      </c>
      <c r="P15" s="588" t="s">
        <v>453</v>
      </c>
    </row>
    <row r="16" spans="1:16" x14ac:dyDescent="0.2">
      <c r="A16" s="443"/>
      <c r="B16" s="460"/>
      <c r="C16" s="459"/>
      <c r="D16" s="440"/>
      <c r="E16" s="440"/>
      <c r="F16" s="723"/>
      <c r="G16" s="724"/>
      <c r="H16" s="415"/>
      <c r="I16" s="458"/>
      <c r="J16" s="457"/>
      <c r="K16" s="435"/>
      <c r="L16" s="444"/>
      <c r="M16" s="435">
        <f t="shared" si="2"/>
        <v>0</v>
      </c>
      <c r="N16" s="435">
        <f t="shared" si="3"/>
        <v>0</v>
      </c>
      <c r="O16" s="449">
        <f t="shared" si="4"/>
        <v>0</v>
      </c>
      <c r="P16" s="588"/>
    </row>
    <row r="17" spans="1:16" x14ac:dyDescent="0.2">
      <c r="A17" s="443"/>
      <c r="B17" s="461"/>
      <c r="C17" s="459"/>
      <c r="D17" s="440"/>
      <c r="E17" s="440"/>
      <c r="F17" s="723"/>
      <c r="G17" s="724"/>
      <c r="H17" s="415"/>
      <c r="I17" s="458"/>
      <c r="J17" s="457"/>
      <c r="K17" s="435"/>
      <c r="L17" s="444"/>
      <c r="M17" s="435">
        <f t="shared" si="2"/>
        <v>0</v>
      </c>
      <c r="N17" s="435">
        <f t="shared" si="3"/>
        <v>0</v>
      </c>
      <c r="O17" s="449">
        <f t="shared" si="4"/>
        <v>0</v>
      </c>
      <c r="P17" s="588"/>
    </row>
    <row r="18" spans="1:16" x14ac:dyDescent="0.2">
      <c r="A18" s="443"/>
      <c r="B18" s="460"/>
      <c r="C18" s="459"/>
      <c r="D18" s="440"/>
      <c r="E18" s="440"/>
      <c r="F18" s="723"/>
      <c r="G18" s="724"/>
      <c r="H18" s="415"/>
      <c r="I18" s="458"/>
      <c r="J18" s="457"/>
      <c r="K18" s="435"/>
      <c r="L18" s="444"/>
      <c r="M18" s="435">
        <f t="shared" si="2"/>
        <v>0</v>
      </c>
      <c r="N18" s="435">
        <f t="shared" si="3"/>
        <v>0</v>
      </c>
      <c r="O18" s="449">
        <f t="shared" si="4"/>
        <v>0</v>
      </c>
      <c r="P18" s="588"/>
    </row>
    <row r="19" spans="1:16" x14ac:dyDescent="0.2">
      <c r="A19" s="443"/>
      <c r="B19" s="460"/>
      <c r="C19" s="459"/>
      <c r="D19" s="440"/>
      <c r="E19" s="440"/>
      <c r="F19" s="723"/>
      <c r="G19" s="724"/>
      <c r="H19" s="415"/>
      <c r="I19" s="458"/>
      <c r="J19" s="457"/>
      <c r="K19" s="435"/>
      <c r="L19" s="444"/>
      <c r="M19" s="435">
        <f t="shared" si="2"/>
        <v>0</v>
      </c>
      <c r="N19" s="435">
        <f t="shared" si="3"/>
        <v>0</v>
      </c>
      <c r="O19" s="449">
        <f t="shared" si="4"/>
        <v>0</v>
      </c>
      <c r="P19" s="588"/>
    </row>
    <row r="20" spans="1:16" ht="13.5" customHeight="1" x14ac:dyDescent="0.2">
      <c r="A20" s="443"/>
      <c r="B20" s="460"/>
      <c r="C20" s="459"/>
      <c r="D20" s="440"/>
      <c r="E20" s="440"/>
      <c r="F20" s="723"/>
      <c r="G20" s="724"/>
      <c r="H20" s="415"/>
      <c r="I20" s="458"/>
      <c r="J20" s="457"/>
      <c r="K20" s="435"/>
      <c r="L20" s="444"/>
      <c r="M20" s="435">
        <f t="shared" si="2"/>
        <v>0</v>
      </c>
      <c r="N20" s="435">
        <f t="shared" si="3"/>
        <v>0</v>
      </c>
      <c r="O20" s="449">
        <f t="shared" si="4"/>
        <v>0</v>
      </c>
    </row>
    <row r="21" spans="1:16" ht="13.5" customHeight="1" x14ac:dyDescent="0.2">
      <c r="A21" s="443"/>
      <c r="B21" s="460"/>
      <c r="C21" s="459"/>
      <c r="D21" s="440"/>
      <c r="E21" s="440"/>
      <c r="F21" s="723"/>
      <c r="G21" s="724"/>
      <c r="H21" s="415"/>
      <c r="I21" s="458"/>
      <c r="J21" s="457"/>
      <c r="K21" s="435"/>
      <c r="L21" s="444"/>
      <c r="M21" s="435">
        <f t="shared" si="2"/>
        <v>0</v>
      </c>
      <c r="N21" s="435">
        <f t="shared" si="3"/>
        <v>0</v>
      </c>
      <c r="O21" s="449">
        <f t="shared" si="4"/>
        <v>0</v>
      </c>
    </row>
    <row r="22" spans="1:16" x14ac:dyDescent="0.2">
      <c r="A22" s="443"/>
      <c r="B22" s="460"/>
      <c r="C22" s="459"/>
      <c r="D22" s="440"/>
      <c r="E22" s="440"/>
      <c r="F22" s="723"/>
      <c r="G22" s="724"/>
      <c r="H22" s="415"/>
      <c r="I22" s="458"/>
      <c r="J22" s="457"/>
      <c r="K22" s="435"/>
      <c r="L22" s="444"/>
      <c r="M22" s="435">
        <f t="shared" si="2"/>
        <v>0</v>
      </c>
      <c r="N22" s="435">
        <f t="shared" si="3"/>
        <v>0</v>
      </c>
      <c r="O22" s="449">
        <f t="shared" si="4"/>
        <v>0</v>
      </c>
    </row>
    <row r="23" spans="1:16" ht="6" customHeight="1" x14ac:dyDescent="0.2">
      <c r="A23" s="456"/>
      <c r="B23" s="455"/>
      <c r="C23" s="454"/>
      <c r="D23" s="453"/>
      <c r="E23" s="453"/>
      <c r="F23" s="721"/>
      <c r="G23" s="722"/>
      <c r="H23" s="415"/>
      <c r="I23" s="450"/>
      <c r="J23" s="446"/>
      <c r="K23" s="435"/>
      <c r="L23" s="444"/>
      <c r="M23" s="435"/>
      <c r="N23" s="435"/>
      <c r="O23" s="449"/>
    </row>
    <row r="24" spans="1:16" x14ac:dyDescent="0.2">
      <c r="A24" s="443" t="s">
        <v>452</v>
      </c>
      <c r="B24" s="442"/>
      <c r="C24" s="441"/>
      <c r="D24" s="440"/>
      <c r="E24" s="440"/>
      <c r="F24" s="723">
        <f>SUM(F12:F22)/260*11*1.5*0.5</f>
        <v>12594.773336538463</v>
      </c>
      <c r="G24" s="724">
        <f>SUM(G12:G22)/260*11*1.5*0.5</f>
        <v>15273.333519230768</v>
      </c>
      <c r="H24" s="415"/>
      <c r="I24" s="447" t="s">
        <v>449</v>
      </c>
      <c r="J24" s="446"/>
      <c r="K24" s="445" t="s">
        <v>449</v>
      </c>
      <c r="L24" s="444"/>
      <c r="M24" s="435">
        <f>F24*L24</f>
        <v>0</v>
      </c>
      <c r="N24" s="435">
        <f>G24*L24</f>
        <v>0</v>
      </c>
      <c r="O24" s="448" t="s">
        <v>449</v>
      </c>
    </row>
    <row r="25" spans="1:16" x14ac:dyDescent="0.2">
      <c r="A25" s="443" t="s">
        <v>451</v>
      </c>
      <c r="B25" s="442"/>
      <c r="C25" s="441"/>
      <c r="D25" s="440"/>
      <c r="E25" s="440"/>
      <c r="F25" s="723">
        <f>SUM(F12:F22)*0.085*0.333</f>
        <v>11234.995807950001</v>
      </c>
      <c r="G25" s="724">
        <f>SUM(G12:G22)*0.085*0.333</f>
        <v>13624.368893100002</v>
      </c>
      <c r="H25" s="415"/>
      <c r="I25" s="447" t="s">
        <v>449</v>
      </c>
      <c r="J25" s="446"/>
      <c r="K25" s="445" t="s">
        <v>449</v>
      </c>
      <c r="L25" s="444"/>
      <c r="M25" s="435">
        <f>F25*L25</f>
        <v>0</v>
      </c>
      <c r="N25" s="435">
        <f>G25*L25</f>
        <v>0</v>
      </c>
      <c r="O25" s="434" t="s">
        <v>449</v>
      </c>
    </row>
    <row r="26" spans="1:16" x14ac:dyDescent="0.2">
      <c r="A26" s="443" t="s">
        <v>450</v>
      </c>
      <c r="B26" s="442"/>
      <c r="C26" s="441"/>
      <c r="D26" s="440"/>
      <c r="E26" s="440"/>
      <c r="F26" s="723"/>
      <c r="G26" s="724"/>
      <c r="H26" s="415"/>
      <c r="I26" s="447" t="s">
        <v>449</v>
      </c>
      <c r="J26" s="446"/>
      <c r="K26" s="445" t="s">
        <v>449</v>
      </c>
      <c r="L26" s="444"/>
      <c r="M26" s="435">
        <f>F26*L26</f>
        <v>0</v>
      </c>
      <c r="N26" s="435">
        <f>G26*L26</f>
        <v>0</v>
      </c>
      <c r="O26" s="434" t="s">
        <v>449</v>
      </c>
    </row>
    <row r="27" spans="1:16" x14ac:dyDescent="0.2">
      <c r="A27" s="443" t="s">
        <v>448</v>
      </c>
      <c r="B27" s="442"/>
      <c r="C27" s="441"/>
      <c r="D27" s="440"/>
      <c r="E27" s="440"/>
      <c r="F27" s="723"/>
      <c r="G27" s="724"/>
      <c r="H27" s="415"/>
      <c r="I27" s="427"/>
      <c r="J27" s="426"/>
      <c r="K27" s="437"/>
      <c r="L27" s="436"/>
      <c r="M27" s="435"/>
      <c r="N27" s="435"/>
      <c r="O27" s="434"/>
    </row>
    <row r="28" spans="1:16" ht="12.75" customHeight="1" x14ac:dyDescent="0.2">
      <c r="A28" s="433" t="s">
        <v>447</v>
      </c>
      <c r="B28" s="432"/>
      <c r="C28" s="431">
        <f>SUM(C12:C22)</f>
        <v>10.199999999999999</v>
      </c>
      <c r="D28" s="430" t="s">
        <v>435</v>
      </c>
      <c r="E28" s="429"/>
      <c r="F28" s="725">
        <f>SUM(F12:F27)</f>
        <v>420755.95914448844</v>
      </c>
      <c r="G28" s="726">
        <f>SUM(G12:G27)</f>
        <v>510239.12241233076</v>
      </c>
      <c r="H28" s="412"/>
      <c r="I28" s="427"/>
      <c r="J28" s="426"/>
      <c r="K28" s="425"/>
      <c r="L28" s="425"/>
      <c r="M28" s="424">
        <f>SUM(M12:M26)</f>
        <v>0</v>
      </c>
      <c r="N28" s="424">
        <f>SUM(N12:N26)</f>
        <v>0</v>
      </c>
      <c r="O28" s="423">
        <f>SUM(O12:O26)</f>
        <v>0</v>
      </c>
    </row>
    <row r="29" spans="1:16" ht="12.75" customHeight="1" x14ac:dyDescent="0.2">
      <c r="A29" s="398"/>
      <c r="B29" s="398"/>
      <c r="C29" s="399"/>
      <c r="D29" s="398"/>
      <c r="E29" s="398"/>
      <c r="F29" s="727"/>
      <c r="G29" s="727"/>
      <c r="H29" s="398"/>
      <c r="I29" s="420"/>
    </row>
    <row r="30" spans="1:16" x14ac:dyDescent="0.2">
      <c r="A30" s="422" t="s">
        <v>446</v>
      </c>
      <c r="B30" s="391"/>
      <c r="C30" s="421" t="s">
        <v>435</v>
      </c>
      <c r="D30" s="391"/>
      <c r="E30" s="391"/>
      <c r="F30" s="728"/>
      <c r="G30" s="728"/>
      <c r="H30" s="391"/>
      <c r="I30" s="420"/>
    </row>
    <row r="31" spans="1:16" x14ac:dyDescent="0.2">
      <c r="A31" s="419" t="s">
        <v>445</v>
      </c>
      <c r="B31" s="404" t="s">
        <v>435</v>
      </c>
      <c r="C31" s="418" t="s">
        <v>435</v>
      </c>
      <c r="D31" s="417" t="s">
        <v>435</v>
      </c>
      <c r="E31" s="404"/>
      <c r="F31" s="729">
        <v>45020</v>
      </c>
      <c r="G31" s="729">
        <v>54595</v>
      </c>
      <c r="H31" s="415"/>
    </row>
    <row r="32" spans="1:16" x14ac:dyDescent="0.2">
      <c r="A32" s="417" t="s">
        <v>444</v>
      </c>
      <c r="B32" s="417" t="s">
        <v>435</v>
      </c>
      <c r="C32" s="418" t="s">
        <v>435</v>
      </c>
      <c r="D32" s="417" t="s">
        <v>435</v>
      </c>
      <c r="E32" s="404"/>
      <c r="F32" s="729"/>
      <c r="G32" s="729"/>
      <c r="H32" s="415"/>
    </row>
    <row r="33" spans="1:8" x14ac:dyDescent="0.2">
      <c r="A33" s="414" t="s">
        <v>443</v>
      </c>
      <c r="B33" s="404"/>
      <c r="C33" s="405"/>
      <c r="D33" s="404"/>
      <c r="E33" s="404"/>
      <c r="F33" s="730">
        <f>F31+F32</f>
        <v>45020</v>
      </c>
      <c r="G33" s="730">
        <f>G31+G32</f>
        <v>54595</v>
      </c>
      <c r="H33" s="412"/>
    </row>
    <row r="34" spans="1:8" x14ac:dyDescent="0.2">
      <c r="A34" s="391"/>
      <c r="B34" s="391"/>
      <c r="C34" s="392"/>
      <c r="D34" s="391"/>
      <c r="E34" s="391"/>
      <c r="F34" s="391"/>
      <c r="G34" s="391"/>
      <c r="H34" s="391"/>
    </row>
    <row r="35" spans="1:8" x14ac:dyDescent="0.2">
      <c r="A35" s="411" t="s">
        <v>442</v>
      </c>
      <c r="B35" s="406"/>
      <c r="C35" s="410"/>
      <c r="D35" s="404"/>
      <c r="E35" s="404"/>
      <c r="F35" s="406"/>
      <c r="G35" s="406"/>
      <c r="H35" s="398"/>
    </row>
    <row r="36" spans="1:8" x14ac:dyDescent="0.2">
      <c r="A36" s="938"/>
      <c r="B36" s="938"/>
      <c r="C36" s="938"/>
      <c r="D36" s="938"/>
      <c r="E36" s="938"/>
      <c r="F36" s="406">
        <v>0</v>
      </c>
      <c r="G36" s="409">
        <f>F36</f>
        <v>0</v>
      </c>
      <c r="H36" s="398"/>
    </row>
    <row r="37" spans="1:8" x14ac:dyDescent="0.2">
      <c r="A37" s="938"/>
      <c r="B37" s="938"/>
      <c r="C37" s="938"/>
      <c r="D37" s="938"/>
      <c r="E37" s="938"/>
      <c r="F37" s="406">
        <v>0</v>
      </c>
      <c r="G37" s="409">
        <f>F37</f>
        <v>0</v>
      </c>
      <c r="H37" s="398"/>
    </row>
    <row r="38" spans="1:8" x14ac:dyDescent="0.2">
      <c r="A38" s="938"/>
      <c r="B38" s="938"/>
      <c r="C38" s="938"/>
      <c r="D38" s="938"/>
      <c r="E38" s="938"/>
      <c r="F38" s="406">
        <v>0</v>
      </c>
      <c r="G38" s="409">
        <f>F38</f>
        <v>0</v>
      </c>
      <c r="H38" s="398"/>
    </row>
    <row r="39" spans="1:8" x14ac:dyDescent="0.2">
      <c r="A39" s="938"/>
      <c r="B39" s="938"/>
      <c r="C39" s="938"/>
      <c r="D39" s="938"/>
      <c r="E39" s="938"/>
      <c r="F39" s="406">
        <v>0</v>
      </c>
      <c r="G39" s="408">
        <f>F39</f>
        <v>0</v>
      </c>
      <c r="H39" s="398"/>
    </row>
    <row r="40" spans="1:8" x14ac:dyDescent="0.2">
      <c r="A40" s="407" t="s">
        <v>441</v>
      </c>
      <c r="B40" s="406"/>
      <c r="C40" s="405"/>
      <c r="D40" s="404"/>
      <c r="E40" s="404"/>
      <c r="F40" s="403">
        <f>SUM(F36:F39)</f>
        <v>0</v>
      </c>
      <c r="G40" s="403">
        <f>SUM(G36:G39)</f>
        <v>0</v>
      </c>
      <c r="H40" s="401"/>
    </row>
    <row r="41" spans="1:8" x14ac:dyDescent="0.2">
      <c r="A41" s="391"/>
      <c r="B41" s="398"/>
      <c r="C41" s="392"/>
      <c r="D41" s="391"/>
      <c r="E41" s="391"/>
      <c r="F41" s="391"/>
      <c r="G41" s="391"/>
      <c r="H41" s="391"/>
    </row>
    <row r="42" spans="1:8" x14ac:dyDescent="0.2">
      <c r="A42" s="400" t="s">
        <v>440</v>
      </c>
      <c r="B42" s="391"/>
      <c r="C42" s="392"/>
      <c r="D42" s="391"/>
      <c r="E42" s="391"/>
      <c r="F42" s="734">
        <f>F28+F33+F40</f>
        <v>465775.95914448844</v>
      </c>
      <c r="G42" s="734">
        <f>G28+G33+G40</f>
        <v>564834.1224123307</v>
      </c>
      <c r="H42" s="401"/>
    </row>
    <row r="43" spans="1:8" x14ac:dyDescent="0.2">
      <c r="A43" s="391"/>
      <c r="B43" s="391"/>
      <c r="C43" s="392"/>
      <c r="D43" s="391"/>
      <c r="E43" s="391"/>
      <c r="F43" s="728"/>
      <c r="G43" s="728"/>
      <c r="H43" s="391"/>
    </row>
    <row r="44" spans="1:8" x14ac:dyDescent="0.2">
      <c r="A44" s="400" t="s">
        <v>439</v>
      </c>
      <c r="B44" s="398"/>
      <c r="C44" s="399"/>
      <c r="D44" s="398"/>
      <c r="E44" s="398"/>
      <c r="F44" s="735">
        <v>-160000</v>
      </c>
      <c r="G44" s="736">
        <v>-170000</v>
      </c>
      <c r="H44" s="396"/>
    </row>
    <row r="45" spans="1:8" x14ac:dyDescent="0.2">
      <c r="A45" s="391"/>
      <c r="B45" s="391"/>
      <c r="C45" s="392"/>
      <c r="D45" s="391"/>
      <c r="E45" s="391"/>
      <c r="F45" s="737"/>
      <c r="G45" s="737"/>
      <c r="H45" s="394"/>
    </row>
    <row r="46" spans="1:8" ht="13.5" thickBot="1" x14ac:dyDescent="0.25">
      <c r="A46" s="393" t="s">
        <v>438</v>
      </c>
      <c r="B46" s="391"/>
      <c r="C46" s="392"/>
      <c r="D46" s="391"/>
      <c r="E46" s="391"/>
      <c r="F46" s="738">
        <f>F42+F44</f>
        <v>305775.95914448844</v>
      </c>
      <c r="G46" s="738">
        <f>G42+G44</f>
        <v>394834.1224123307</v>
      </c>
      <c r="H46" s="389"/>
    </row>
    <row r="47" spans="1:8" ht="13.5" thickTop="1" x14ac:dyDescent="0.2">
      <c r="A47" s="388" t="s">
        <v>437</v>
      </c>
      <c r="F47" s="387">
        <f>F46/F42</f>
        <v>0.65648720836970809</v>
      </c>
      <c r="G47" s="387">
        <f>G46/G42</f>
        <v>0.69902668189741646</v>
      </c>
      <c r="H47" s="386"/>
    </row>
    <row r="48" spans="1:8" x14ac:dyDescent="0.2">
      <c r="F48" s="385"/>
      <c r="G48" s="385"/>
      <c r="H48" s="385"/>
    </row>
    <row r="49" spans="1:15" x14ac:dyDescent="0.2">
      <c r="A49" s="384" t="s">
        <v>436</v>
      </c>
      <c r="C49" s="383" t="s">
        <v>435</v>
      </c>
    </row>
    <row r="50" spans="1:15" ht="12.75" customHeight="1" x14ac:dyDescent="0.2">
      <c r="A50" s="939" t="s">
        <v>745</v>
      </c>
      <c r="B50" s="939"/>
      <c r="C50" s="939"/>
      <c r="D50" s="939"/>
      <c r="E50" s="939"/>
      <c r="F50" s="939"/>
      <c r="G50" s="939"/>
      <c r="H50" s="589"/>
      <c r="I50" s="589"/>
      <c r="J50" s="589"/>
      <c r="K50" s="589"/>
      <c r="L50" s="589"/>
      <c r="M50" s="589"/>
      <c r="N50" s="589"/>
      <c r="O50" s="589"/>
    </row>
    <row r="51" spans="1:15" ht="12.75" customHeight="1" x14ac:dyDescent="0.2">
      <c r="A51" s="940" t="s">
        <v>564</v>
      </c>
      <c r="B51" s="941"/>
      <c r="C51" s="941"/>
      <c r="D51" s="941"/>
      <c r="E51" s="941"/>
      <c r="F51" s="941"/>
      <c r="G51" s="941"/>
      <c r="H51" s="589"/>
      <c r="I51" s="589"/>
      <c r="J51" s="589"/>
      <c r="K51" s="589"/>
      <c r="L51" s="589"/>
      <c r="M51" s="589"/>
      <c r="N51" s="589"/>
      <c r="O51" s="589"/>
    </row>
    <row r="52" spans="1:15" ht="12.75" customHeight="1" x14ac:dyDescent="0.2">
      <c r="A52" s="936" t="s">
        <v>433</v>
      </c>
      <c r="B52" s="936"/>
      <c r="C52" s="936"/>
      <c r="D52" s="936"/>
      <c r="E52" s="936"/>
      <c r="F52" s="936"/>
      <c r="G52" s="936"/>
      <c r="H52" s="589"/>
      <c r="I52" s="589"/>
      <c r="J52" s="589"/>
      <c r="K52" s="589"/>
      <c r="L52" s="589"/>
      <c r="M52" s="589"/>
      <c r="N52" s="589"/>
      <c r="O52" s="589"/>
    </row>
    <row r="53" spans="1:15" x14ac:dyDescent="0.2">
      <c r="A53" s="382" t="s">
        <v>432</v>
      </c>
      <c r="B53" s="589"/>
      <c r="C53" s="589"/>
      <c r="D53" s="589"/>
      <c r="E53" s="589"/>
      <c r="F53" s="589"/>
      <c r="G53" s="589"/>
      <c r="H53" s="589"/>
      <c r="I53" s="589"/>
      <c r="J53" s="589"/>
      <c r="K53" s="589"/>
      <c r="L53" s="589"/>
      <c r="M53" s="589"/>
      <c r="N53" s="589"/>
      <c r="O53" s="589"/>
    </row>
    <row r="54" spans="1:15" x14ac:dyDescent="0.2">
      <c r="A54" s="590"/>
      <c r="B54" s="590"/>
      <c r="C54" s="590"/>
      <c r="D54" s="590"/>
      <c r="E54" s="590"/>
      <c r="F54" s="590"/>
      <c r="G54" s="590"/>
    </row>
    <row r="55" spans="1:15" x14ac:dyDescent="0.2">
      <c r="A55" s="590"/>
      <c r="B55" s="590"/>
      <c r="C55" s="590"/>
      <c r="D55" s="590"/>
      <c r="E55" s="590"/>
      <c r="F55" s="590"/>
      <c r="G55" s="590"/>
    </row>
    <row r="56" spans="1:15" x14ac:dyDescent="0.2">
      <c r="A56" s="590"/>
      <c r="B56" s="590"/>
      <c r="C56" s="590"/>
      <c r="D56" s="590"/>
      <c r="E56" s="590"/>
      <c r="F56" s="590"/>
      <c r="G56" s="590"/>
    </row>
    <row r="57" spans="1:15" x14ac:dyDescent="0.2">
      <c r="A57" s="590"/>
      <c r="B57" s="590"/>
      <c r="C57" s="590"/>
      <c r="D57" s="590"/>
      <c r="E57" s="590"/>
      <c r="F57" s="590"/>
      <c r="G57" s="590"/>
    </row>
    <row r="58" spans="1:15" x14ac:dyDescent="0.2">
      <c r="A58" s="589"/>
      <c r="B58" s="589"/>
      <c r="C58" s="589"/>
      <c r="D58" s="589"/>
      <c r="E58" s="589"/>
      <c r="F58" s="589"/>
      <c r="G58" s="589"/>
    </row>
  </sheetData>
  <mergeCells count="8">
    <mergeCell ref="A52:G52"/>
    <mergeCell ref="I3:M5"/>
    <mergeCell ref="A36:E36"/>
    <mergeCell ref="A37:E37"/>
    <mergeCell ref="A38:E38"/>
    <mergeCell ref="A39:E39"/>
    <mergeCell ref="A50:G50"/>
    <mergeCell ref="A51:G51"/>
  </mergeCells>
  <dataValidations count="1">
    <dataValidation type="list" allowBlank="1" showInputMessage="1" showErrorMessage="1" error="Please enter either an S or a C." sqref="I12:I22">
      <formula1>$P$12:$P$13</formula1>
    </dataValidation>
  </dataValidations>
  <pageMargins left="0.7" right="0.7" top="0.75" bottom="0.75" header="0.3" footer="0.3"/>
  <pageSetup scale="5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view="pageBreakPreview" zoomScale="60" zoomScaleNormal="100" workbookViewId="0">
      <selection activeCell="O83" sqref="O83"/>
    </sheetView>
  </sheetViews>
  <sheetFormatPr defaultColWidth="12.7109375" defaultRowHeight="12.75" x14ac:dyDescent="0.2"/>
  <cols>
    <col min="1" max="1" width="2" style="153" customWidth="1"/>
    <col min="2" max="2" width="31.140625" style="153" bestFit="1" customWidth="1"/>
    <col min="3" max="3" width="32.7109375" style="153" customWidth="1"/>
    <col min="4" max="4" width="1.5703125" style="153" customWidth="1"/>
    <col min="5" max="5" width="30.5703125" style="153" bestFit="1" customWidth="1"/>
    <col min="6" max="6" width="29.28515625" style="153" customWidth="1"/>
    <col min="7" max="7" width="1.5703125" style="153" customWidth="1"/>
    <col min="8" max="8" width="31.140625" style="153" bestFit="1" customWidth="1"/>
    <col min="9" max="10" width="16" style="153" customWidth="1"/>
    <col min="11" max="11" width="1.5703125" style="153" customWidth="1"/>
    <col min="12" max="16384" width="12.7109375" style="153"/>
  </cols>
  <sheetData>
    <row r="1" spans="1:6" ht="18" x14ac:dyDescent="0.2">
      <c r="A1" s="193" t="s">
        <v>111</v>
      </c>
      <c r="B1" s="194"/>
    </row>
    <row r="2" spans="1:6" ht="23.25" customHeight="1" x14ac:dyDescent="0.2">
      <c r="A2" s="195" t="s">
        <v>1</v>
      </c>
      <c r="B2" s="196"/>
    </row>
    <row r="4" spans="1:6" x14ac:dyDescent="0.2">
      <c r="B4" s="197" t="s">
        <v>112</v>
      </c>
      <c r="E4" s="198" t="s">
        <v>113</v>
      </c>
    </row>
    <row r="5" spans="1:6" ht="6" customHeight="1" x14ac:dyDescent="0.2"/>
    <row r="6" spans="1:6" x14ac:dyDescent="0.2">
      <c r="B6" s="199" t="s">
        <v>114</v>
      </c>
      <c r="C6" s="183" t="s">
        <v>737</v>
      </c>
      <c r="E6" s="199" t="s">
        <v>114</v>
      </c>
      <c r="F6" s="183" t="s">
        <v>737</v>
      </c>
    </row>
    <row r="7" spans="1:6" ht="25.5" x14ac:dyDescent="0.2">
      <c r="B7" s="199" t="s">
        <v>115</v>
      </c>
      <c r="C7" s="200" t="s">
        <v>758</v>
      </c>
      <c r="E7" s="199" t="s">
        <v>115</v>
      </c>
      <c r="F7" s="200" t="s">
        <v>771</v>
      </c>
    </row>
    <row r="8" spans="1:6" x14ac:dyDescent="0.2">
      <c r="B8" s="199" t="s">
        <v>116</v>
      </c>
      <c r="C8" s="183" t="s">
        <v>117</v>
      </c>
      <c r="E8" s="199" t="s">
        <v>116</v>
      </c>
      <c r="F8" s="183" t="s">
        <v>117</v>
      </c>
    </row>
    <row r="9" spans="1:6" ht="89.25" x14ac:dyDescent="0.2">
      <c r="B9" s="199" t="s">
        <v>118</v>
      </c>
      <c r="C9" s="200" t="s">
        <v>759</v>
      </c>
      <c r="E9" s="199" t="s">
        <v>118</v>
      </c>
      <c r="F9" s="200" t="s">
        <v>772</v>
      </c>
    </row>
    <row r="11" spans="1:6" x14ac:dyDescent="0.2">
      <c r="B11" s="199" t="s">
        <v>119</v>
      </c>
      <c r="C11" s="201"/>
      <c r="E11" s="199" t="s">
        <v>119</v>
      </c>
      <c r="F11" s="201"/>
    </row>
    <row r="12" spans="1:6" x14ac:dyDescent="0.2">
      <c r="B12" s="202" t="s">
        <v>120</v>
      </c>
      <c r="C12" s="202" t="s">
        <v>760</v>
      </c>
      <c r="E12" s="202" t="s">
        <v>120</v>
      </c>
      <c r="F12" s="202" t="s">
        <v>773</v>
      </c>
    </row>
    <row r="13" spans="1:6" x14ac:dyDescent="0.2">
      <c r="B13" s="202" t="s">
        <v>761</v>
      </c>
      <c r="C13" s="202">
        <v>377</v>
      </c>
      <c r="E13" s="202" t="s">
        <v>761</v>
      </c>
      <c r="F13" s="202">
        <v>1224</v>
      </c>
    </row>
    <row r="14" spans="1:6" x14ac:dyDescent="0.2">
      <c r="B14" s="202" t="s">
        <v>762</v>
      </c>
      <c r="C14" s="202">
        <v>626</v>
      </c>
      <c r="E14" s="202" t="s">
        <v>762</v>
      </c>
      <c r="F14" s="202">
        <v>1840</v>
      </c>
    </row>
    <row r="15" spans="1:6" x14ac:dyDescent="0.2">
      <c r="B15" s="202" t="s">
        <v>763</v>
      </c>
      <c r="C15" s="202">
        <v>432</v>
      </c>
      <c r="E15" s="202" t="s">
        <v>763</v>
      </c>
      <c r="F15" s="202">
        <v>951</v>
      </c>
    </row>
    <row r="16" spans="1:6" x14ac:dyDescent="0.2">
      <c r="B16" s="202" t="s">
        <v>764</v>
      </c>
      <c r="C16" s="202">
        <v>313</v>
      </c>
      <c r="E16" s="202" t="s">
        <v>764</v>
      </c>
      <c r="F16" s="202">
        <v>1600</v>
      </c>
    </row>
    <row r="17" spans="2:6" x14ac:dyDescent="0.2">
      <c r="B17" s="202" t="s">
        <v>765</v>
      </c>
      <c r="C17" s="202">
        <v>261</v>
      </c>
      <c r="E17" s="202" t="s">
        <v>765</v>
      </c>
      <c r="F17" s="202">
        <v>1600</v>
      </c>
    </row>
    <row r="18" spans="2:6" x14ac:dyDescent="0.2">
      <c r="B18" s="202" t="s">
        <v>766</v>
      </c>
      <c r="C18" s="202">
        <v>222</v>
      </c>
      <c r="E18" s="202" t="s">
        <v>766</v>
      </c>
      <c r="F18" s="202">
        <v>1600</v>
      </c>
    </row>
    <row r="19" spans="2:6" x14ac:dyDescent="0.2">
      <c r="B19" s="202" t="s">
        <v>767</v>
      </c>
      <c r="C19" s="202">
        <v>150</v>
      </c>
      <c r="E19" s="202" t="s">
        <v>767</v>
      </c>
      <c r="F19" s="202">
        <v>800</v>
      </c>
    </row>
    <row r="20" spans="2:6" x14ac:dyDescent="0.2">
      <c r="B20" s="202" t="s">
        <v>768</v>
      </c>
      <c r="C20" s="202">
        <v>450</v>
      </c>
      <c r="E20" s="202" t="s">
        <v>768</v>
      </c>
      <c r="F20" s="202">
        <v>2400</v>
      </c>
    </row>
    <row r="21" spans="2:6" x14ac:dyDescent="0.2">
      <c r="B21" s="202" t="s">
        <v>769</v>
      </c>
      <c r="C21" s="202">
        <v>350</v>
      </c>
      <c r="E21" s="202" t="s">
        <v>774</v>
      </c>
      <c r="F21" s="202">
        <v>700</v>
      </c>
    </row>
    <row r="22" spans="2:6" x14ac:dyDescent="0.2">
      <c r="B22" s="202" t="s">
        <v>770</v>
      </c>
      <c r="C22" s="202">
        <v>370</v>
      </c>
      <c r="E22" s="202" t="s">
        <v>770</v>
      </c>
      <c r="F22" s="202">
        <v>1150</v>
      </c>
    </row>
    <row r="23" spans="2:6" x14ac:dyDescent="0.2">
      <c r="B23" s="202" t="s">
        <v>795</v>
      </c>
      <c r="C23" s="202">
        <v>180</v>
      </c>
      <c r="E23" s="202" t="s">
        <v>795</v>
      </c>
      <c r="F23" s="202">
        <v>650</v>
      </c>
    </row>
    <row r="60" spans="2:10" x14ac:dyDescent="0.2">
      <c r="B60" s="198" t="s">
        <v>796</v>
      </c>
      <c r="E60" s="198" t="s">
        <v>797</v>
      </c>
      <c r="H60" s="198" t="s">
        <v>798</v>
      </c>
    </row>
    <row r="62" spans="2:10" x14ac:dyDescent="0.2">
      <c r="B62" s="199" t="s">
        <v>114</v>
      </c>
      <c r="C62" s="183" t="s">
        <v>737</v>
      </c>
      <c r="E62" s="199" t="s">
        <v>114</v>
      </c>
      <c r="F62" s="183" t="s">
        <v>737</v>
      </c>
      <c r="H62" s="199" t="s">
        <v>114</v>
      </c>
      <c r="I62" s="830" t="s">
        <v>737</v>
      </c>
      <c r="J62" s="831"/>
    </row>
    <row r="63" spans="2:10" ht="25.5" x14ac:dyDescent="0.2">
      <c r="B63" s="199" t="s">
        <v>115</v>
      </c>
      <c r="C63" s="200" t="s">
        <v>799</v>
      </c>
      <c r="E63" s="199" t="s">
        <v>115</v>
      </c>
      <c r="F63" s="200" t="s">
        <v>800</v>
      </c>
      <c r="H63" s="199" t="s">
        <v>115</v>
      </c>
      <c r="I63" s="830" t="s">
        <v>801</v>
      </c>
      <c r="J63" s="832"/>
    </row>
    <row r="64" spans="2:10" x14ac:dyDescent="0.2">
      <c r="B64" s="199" t="s">
        <v>116</v>
      </c>
      <c r="C64" s="183" t="s">
        <v>117</v>
      </c>
      <c r="E64" s="199" t="s">
        <v>116</v>
      </c>
      <c r="F64" s="183" t="s">
        <v>117</v>
      </c>
      <c r="H64" s="199" t="s">
        <v>116</v>
      </c>
      <c r="I64" s="830"/>
      <c r="J64" s="832"/>
    </row>
    <row r="65" spans="2:10" ht="63.75" x14ac:dyDescent="0.2">
      <c r="B65" s="199" t="s">
        <v>118</v>
      </c>
      <c r="C65" s="782" t="s">
        <v>802</v>
      </c>
      <c r="E65" s="199" t="s">
        <v>118</v>
      </c>
      <c r="F65" s="782" t="s">
        <v>803</v>
      </c>
      <c r="H65" s="199" t="s">
        <v>118</v>
      </c>
      <c r="I65" s="833" t="s">
        <v>804</v>
      </c>
      <c r="J65" s="834"/>
    </row>
    <row r="67" spans="2:10" x14ac:dyDescent="0.2">
      <c r="B67" s="199" t="s">
        <v>119</v>
      </c>
      <c r="C67" s="201"/>
      <c r="E67" s="199" t="s">
        <v>119</v>
      </c>
      <c r="F67" s="201"/>
      <c r="H67" s="199" t="s">
        <v>119</v>
      </c>
      <c r="I67" s="201"/>
      <c r="J67" s="201"/>
    </row>
    <row r="68" spans="2:10" x14ac:dyDescent="0.2">
      <c r="B68" s="202" t="s">
        <v>805</v>
      </c>
      <c r="C68" s="202" t="s">
        <v>806</v>
      </c>
      <c r="E68" s="202" t="s">
        <v>805</v>
      </c>
      <c r="F68" s="202" t="s">
        <v>807</v>
      </c>
      <c r="H68" s="202" t="s">
        <v>120</v>
      </c>
      <c r="I68" s="202" t="s">
        <v>808</v>
      </c>
      <c r="J68" s="202" t="s">
        <v>809</v>
      </c>
    </row>
    <row r="69" spans="2:10" x14ac:dyDescent="0.2">
      <c r="B69" s="783">
        <v>38047</v>
      </c>
      <c r="C69" s="784">
        <v>448948</v>
      </c>
      <c r="D69" s="785"/>
      <c r="E69" s="783">
        <v>38047</v>
      </c>
      <c r="F69" s="784">
        <v>91889</v>
      </c>
      <c r="G69" s="785"/>
      <c r="H69" s="783">
        <v>38047</v>
      </c>
      <c r="I69" s="786">
        <v>0.63</v>
      </c>
      <c r="J69" s="786">
        <v>0.37</v>
      </c>
    </row>
    <row r="70" spans="2:10" x14ac:dyDescent="0.2">
      <c r="B70" s="783">
        <v>38292</v>
      </c>
      <c r="C70" s="784">
        <v>486937</v>
      </c>
      <c r="D70" s="785"/>
      <c r="E70" s="783">
        <v>38292</v>
      </c>
      <c r="F70" s="784">
        <v>117132</v>
      </c>
      <c r="G70" s="785"/>
      <c r="H70" s="783">
        <v>38292</v>
      </c>
      <c r="I70" s="786">
        <v>0.63</v>
      </c>
      <c r="J70" s="786">
        <v>0.37</v>
      </c>
    </row>
    <row r="71" spans="2:10" x14ac:dyDescent="0.2">
      <c r="B71" s="783">
        <v>38657</v>
      </c>
      <c r="C71" s="784">
        <v>428481</v>
      </c>
      <c r="D71" s="785"/>
      <c r="E71" s="783">
        <v>38657</v>
      </c>
      <c r="F71" s="784">
        <v>120813</v>
      </c>
      <c r="G71" s="785"/>
      <c r="H71" s="783">
        <v>38657</v>
      </c>
      <c r="I71" s="786">
        <v>0.6</v>
      </c>
      <c r="J71" s="786">
        <v>0.4</v>
      </c>
    </row>
    <row r="72" spans="2:10" x14ac:dyDescent="0.2">
      <c r="B72" s="783">
        <v>38869</v>
      </c>
      <c r="C72" s="784">
        <v>421094</v>
      </c>
      <c r="D72" s="785"/>
      <c r="E72" s="783">
        <v>38869</v>
      </c>
      <c r="F72" s="784">
        <v>124323</v>
      </c>
      <c r="G72" s="785"/>
      <c r="H72" s="783">
        <v>38869</v>
      </c>
      <c r="I72" s="786">
        <v>0.52</v>
      </c>
      <c r="J72" s="786">
        <v>0.48</v>
      </c>
    </row>
    <row r="73" spans="2:10" x14ac:dyDescent="0.2">
      <c r="B73" s="783">
        <v>39022</v>
      </c>
      <c r="C73" s="784">
        <v>418285</v>
      </c>
      <c r="D73" s="785"/>
      <c r="E73" s="783">
        <v>39022</v>
      </c>
      <c r="F73" s="784">
        <v>129523</v>
      </c>
      <c r="G73" s="785"/>
      <c r="H73" s="783">
        <v>39022</v>
      </c>
      <c r="I73" s="786">
        <v>0.58000000000000007</v>
      </c>
      <c r="J73" s="786">
        <v>0.42</v>
      </c>
    </row>
    <row r="74" spans="2:10" x14ac:dyDescent="0.2">
      <c r="B74" s="783">
        <v>39387</v>
      </c>
      <c r="C74" s="784">
        <v>419598</v>
      </c>
      <c r="D74" s="785"/>
      <c r="E74" s="783">
        <v>39387</v>
      </c>
      <c r="F74" s="784">
        <v>134997</v>
      </c>
      <c r="G74" s="785"/>
      <c r="H74" s="783">
        <v>39387</v>
      </c>
      <c r="I74" s="786">
        <v>0.48</v>
      </c>
      <c r="J74" s="786">
        <v>0.52</v>
      </c>
    </row>
    <row r="75" spans="2:10" x14ac:dyDescent="0.2">
      <c r="B75" s="783">
        <v>39479</v>
      </c>
      <c r="C75" s="784">
        <v>415761</v>
      </c>
      <c r="D75" s="785"/>
      <c r="E75" s="783">
        <v>39479</v>
      </c>
      <c r="F75" s="784">
        <v>140579</v>
      </c>
      <c r="G75" s="785"/>
      <c r="H75" s="783">
        <v>39479</v>
      </c>
      <c r="I75" s="786">
        <v>0.6</v>
      </c>
      <c r="J75" s="786">
        <v>0.4</v>
      </c>
    </row>
    <row r="76" spans="2:10" x14ac:dyDescent="0.2">
      <c r="B76" s="783">
        <v>39607</v>
      </c>
      <c r="C76" s="784">
        <v>430259</v>
      </c>
      <c r="D76" s="785"/>
      <c r="E76" s="783">
        <v>39607</v>
      </c>
      <c r="F76" s="784">
        <v>155245</v>
      </c>
      <c r="G76" s="785"/>
      <c r="H76" s="783">
        <v>39607</v>
      </c>
      <c r="I76" s="786">
        <v>0.48</v>
      </c>
      <c r="J76" s="786">
        <v>0.52</v>
      </c>
    </row>
    <row r="77" spans="2:10" x14ac:dyDescent="0.2">
      <c r="B77" s="783">
        <v>39760</v>
      </c>
      <c r="C77" s="784">
        <v>477651</v>
      </c>
      <c r="D77" s="785"/>
      <c r="E77" s="783">
        <v>39760</v>
      </c>
      <c r="F77" s="784">
        <v>167148</v>
      </c>
      <c r="G77" s="785"/>
      <c r="H77" s="783">
        <v>39760</v>
      </c>
      <c r="I77" s="786">
        <v>0.53986220472440949</v>
      </c>
      <c r="J77" s="786">
        <v>0.46013779527559057</v>
      </c>
    </row>
    <row r="78" spans="2:10" x14ac:dyDescent="0.2">
      <c r="B78" s="783">
        <v>39952</v>
      </c>
      <c r="C78" s="784">
        <v>465428</v>
      </c>
      <c r="D78" s="785"/>
      <c r="E78" s="783">
        <v>39952</v>
      </c>
      <c r="F78" s="784">
        <v>170282</v>
      </c>
      <c r="G78" s="785"/>
      <c r="H78" s="783">
        <v>39952</v>
      </c>
      <c r="I78" s="786">
        <v>0.33727741785312493</v>
      </c>
      <c r="J78" s="786">
        <v>0.66272258214687507</v>
      </c>
    </row>
    <row r="79" spans="2:10" x14ac:dyDescent="0.2">
      <c r="B79" s="787" t="s">
        <v>810</v>
      </c>
      <c r="C79" s="784">
        <v>451988</v>
      </c>
      <c r="D79" s="785"/>
      <c r="E79" s="787" t="s">
        <v>810</v>
      </c>
      <c r="F79" s="784">
        <v>174383</v>
      </c>
      <c r="G79" s="785"/>
      <c r="H79" s="787" t="s">
        <v>810</v>
      </c>
      <c r="I79" s="786">
        <v>0.31615406472599716</v>
      </c>
      <c r="J79" s="786">
        <v>0.68384593527400284</v>
      </c>
    </row>
    <row r="80" spans="2:10" x14ac:dyDescent="0.2">
      <c r="B80" s="787" t="s">
        <v>811</v>
      </c>
      <c r="C80" s="784">
        <v>448346</v>
      </c>
      <c r="D80" s="785"/>
      <c r="E80" s="787" t="s">
        <v>811</v>
      </c>
      <c r="F80" s="784">
        <v>176983</v>
      </c>
      <c r="G80" s="785"/>
      <c r="H80" s="787" t="s">
        <v>811</v>
      </c>
      <c r="I80" s="786">
        <v>0.39904071804697394</v>
      </c>
      <c r="J80" s="786">
        <v>0.60095928195302606</v>
      </c>
    </row>
    <row r="81" spans="2:10" x14ac:dyDescent="0.2">
      <c r="B81" s="787" t="s">
        <v>812</v>
      </c>
      <c r="C81" s="784">
        <v>456179</v>
      </c>
      <c r="D81" s="785"/>
      <c r="E81" s="787" t="s">
        <v>812</v>
      </c>
      <c r="F81" s="784">
        <v>183733</v>
      </c>
      <c r="G81" s="785"/>
      <c r="H81" s="787" t="s">
        <v>812</v>
      </c>
      <c r="I81" s="786">
        <v>0.5</v>
      </c>
      <c r="J81" s="786">
        <v>0.5</v>
      </c>
    </row>
    <row r="82" spans="2:10" x14ac:dyDescent="0.2">
      <c r="B82" s="783">
        <v>40848</v>
      </c>
      <c r="C82" s="788">
        <v>464380</v>
      </c>
      <c r="D82" s="785"/>
      <c r="E82" s="783">
        <v>40848</v>
      </c>
      <c r="F82" s="788">
        <v>202388</v>
      </c>
      <c r="G82" s="785"/>
      <c r="H82" s="783">
        <v>40848</v>
      </c>
      <c r="I82" s="786">
        <v>0.43000000000000005</v>
      </c>
      <c r="J82" s="786">
        <v>0.56999999999999995</v>
      </c>
    </row>
    <row r="83" spans="2:10" x14ac:dyDescent="0.2">
      <c r="B83" s="789">
        <v>41061</v>
      </c>
      <c r="C83" s="784">
        <v>470668</v>
      </c>
      <c r="D83" s="785"/>
      <c r="E83" s="789">
        <v>41061</v>
      </c>
      <c r="F83" s="784">
        <v>206921</v>
      </c>
      <c r="G83" s="785"/>
      <c r="H83" s="789">
        <v>41061</v>
      </c>
      <c r="I83" s="786">
        <v>0.32999999999999996</v>
      </c>
      <c r="J83" s="786">
        <v>0.67</v>
      </c>
    </row>
    <row r="84" spans="2:10" x14ac:dyDescent="0.2">
      <c r="B84" s="789">
        <v>41214</v>
      </c>
      <c r="C84" s="784">
        <v>502841</v>
      </c>
      <c r="D84" s="785"/>
      <c r="E84" s="789">
        <v>41214</v>
      </c>
      <c r="F84" s="784">
        <v>235106</v>
      </c>
      <c r="G84" s="785"/>
      <c r="H84" s="789">
        <v>41214</v>
      </c>
      <c r="I84" s="786">
        <v>0.47</v>
      </c>
      <c r="J84" s="786">
        <v>0.53</v>
      </c>
    </row>
  </sheetData>
  <mergeCells count="4">
    <mergeCell ref="I62:J62"/>
    <mergeCell ref="I63:J63"/>
    <mergeCell ref="I64:J64"/>
    <mergeCell ref="I65:J65"/>
  </mergeCells>
  <printOptions horizontalCentered="1"/>
  <pageMargins left="0.16" right="0.16" top="0.8" bottom="1" header="0.5" footer="0.5"/>
  <pageSetup scale="59" orientation="landscape" r:id="rId1"/>
  <headerFooter alignWithMargins="0">
    <oddFooter>&amp;CPage &amp;P of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8"/>
  <sheetViews>
    <sheetView zoomScaleNormal="100" workbookViewId="0">
      <selection activeCell="J10" sqref="J10"/>
    </sheetView>
  </sheetViews>
  <sheetFormatPr defaultRowHeight="12.75" x14ac:dyDescent="0.2"/>
  <cols>
    <col min="1" max="8" width="9.140625" style="502"/>
    <col min="9" max="9" width="3" style="502" customWidth="1"/>
    <col min="10" max="10" width="9.140625" style="502"/>
    <col min="11" max="11" width="13" style="502" customWidth="1"/>
    <col min="12" max="15" width="9.140625" style="502"/>
    <col min="16" max="16" width="11.140625" style="502" customWidth="1"/>
    <col min="17" max="17" width="11.28515625" style="502" customWidth="1"/>
    <col min="18" max="16384" width="9.140625" style="502"/>
  </cols>
  <sheetData>
    <row r="1" spans="1:18" s="491" customFormat="1" ht="18" x14ac:dyDescent="0.25">
      <c r="A1" s="490" t="s">
        <v>476</v>
      </c>
      <c r="C1" s="492"/>
      <c r="F1" s="502"/>
      <c r="G1" s="502"/>
      <c r="H1" s="502"/>
      <c r="I1" s="502"/>
      <c r="J1" s="502"/>
      <c r="K1" s="502"/>
      <c r="L1" s="502"/>
      <c r="M1" s="502"/>
      <c r="N1" s="502"/>
      <c r="O1" s="502"/>
      <c r="P1" s="502"/>
      <c r="Q1" s="502"/>
    </row>
    <row r="2" spans="1:18" s="491" customFormat="1" x14ac:dyDescent="0.2">
      <c r="A2" s="502"/>
      <c r="B2" s="502"/>
      <c r="C2" s="502"/>
      <c r="D2" s="502"/>
      <c r="E2" s="502"/>
      <c r="F2" s="502"/>
      <c r="G2" s="502"/>
      <c r="H2" s="502"/>
      <c r="I2" s="502"/>
      <c r="J2" s="502"/>
      <c r="K2" s="502"/>
      <c r="L2" s="502"/>
      <c r="M2" s="502"/>
      <c r="N2" s="502"/>
      <c r="O2" s="502"/>
      <c r="P2" s="502"/>
      <c r="Q2" s="502"/>
    </row>
    <row r="3" spans="1:18" ht="15.75" x14ac:dyDescent="0.25">
      <c r="A3" s="602" t="s">
        <v>566</v>
      </c>
      <c r="B3" s="603"/>
      <c r="J3" s="604" t="s">
        <v>567</v>
      </c>
      <c r="K3" s="603"/>
      <c r="L3" s="391"/>
      <c r="M3" s="391"/>
      <c r="N3" s="491"/>
      <c r="O3" s="491"/>
      <c r="P3" s="491"/>
      <c r="Q3" s="491"/>
      <c r="R3" s="491"/>
    </row>
    <row r="4" spans="1:18" x14ac:dyDescent="0.2">
      <c r="F4" s="605" t="s">
        <v>464</v>
      </c>
      <c r="G4" s="605" t="s">
        <v>463</v>
      </c>
      <c r="H4" s="381"/>
      <c r="R4" s="491"/>
    </row>
    <row r="5" spans="1:18" ht="12.75" customHeight="1" x14ac:dyDescent="0.2">
      <c r="A5" s="944" t="s">
        <v>568</v>
      </c>
      <c r="B5" s="945"/>
      <c r="C5" s="945"/>
      <c r="D5" s="945"/>
      <c r="E5" s="946"/>
      <c r="F5" s="606">
        <v>160000</v>
      </c>
      <c r="G5" s="606">
        <v>170000</v>
      </c>
      <c r="H5" s="381"/>
      <c r="J5" s="947" t="s">
        <v>569</v>
      </c>
      <c r="K5" s="948"/>
      <c r="L5" s="948"/>
      <c r="M5" s="948"/>
      <c r="N5" s="949"/>
      <c r="O5" s="953" t="s">
        <v>746</v>
      </c>
      <c r="P5" s="954"/>
      <c r="Q5" s="955"/>
      <c r="R5" s="491"/>
    </row>
    <row r="6" spans="1:18" x14ac:dyDescent="0.2">
      <c r="A6" s="607"/>
      <c r="B6" s="607"/>
      <c r="C6" s="607"/>
      <c r="D6" s="607"/>
      <c r="E6" s="607"/>
      <c r="F6" s="518"/>
      <c r="G6" s="518"/>
      <c r="H6" s="381"/>
      <c r="J6" s="950"/>
      <c r="K6" s="951"/>
      <c r="L6" s="951"/>
      <c r="M6" s="951"/>
      <c r="N6" s="952"/>
      <c r="O6" s="956"/>
      <c r="P6" s="957"/>
      <c r="Q6" s="958"/>
      <c r="R6" s="491"/>
    </row>
    <row r="7" spans="1:18" x14ac:dyDescent="0.2">
      <c r="A7" s="391"/>
      <c r="B7" s="391"/>
      <c r="C7" s="391"/>
      <c r="D7" s="391"/>
      <c r="E7" s="391"/>
      <c r="F7" s="391"/>
      <c r="G7" s="491"/>
      <c r="H7" s="491"/>
      <c r="J7" s="491"/>
      <c r="K7" s="491"/>
      <c r="L7" s="491"/>
      <c r="M7" s="491"/>
      <c r="N7" s="491"/>
      <c r="O7" s="491"/>
      <c r="P7" s="491"/>
      <c r="Q7" s="491"/>
      <c r="R7" s="491"/>
    </row>
    <row r="8" spans="1:18" x14ac:dyDescent="0.2">
      <c r="J8" s="497" t="s">
        <v>570</v>
      </c>
      <c r="K8" s="497"/>
      <c r="L8" s="394"/>
      <c r="M8" s="394"/>
      <c r="N8" s="491"/>
      <c r="O8" s="491"/>
      <c r="P8" s="491"/>
      <c r="Q8" s="491"/>
      <c r="R8" s="491"/>
    </row>
    <row r="9" spans="1:18" ht="15" x14ac:dyDescent="0.25">
      <c r="A9" s="608" t="s">
        <v>571</v>
      </c>
      <c r="J9" s="739" t="s">
        <v>572</v>
      </c>
      <c r="K9" s="959" t="s">
        <v>468</v>
      </c>
      <c r="L9" s="959"/>
      <c r="M9" s="740" t="s">
        <v>573</v>
      </c>
      <c r="N9" s="973" t="s">
        <v>574</v>
      </c>
      <c r="O9" s="973"/>
      <c r="P9" s="606" t="s">
        <v>575</v>
      </c>
      <c r="Q9" s="606" t="s">
        <v>463</v>
      </c>
      <c r="R9" s="491"/>
    </row>
    <row r="10" spans="1:18" ht="15" x14ac:dyDescent="0.25">
      <c r="A10" s="608"/>
      <c r="J10" s="741" t="s">
        <v>744</v>
      </c>
      <c r="K10" s="971" t="s">
        <v>748</v>
      </c>
      <c r="L10" s="972"/>
      <c r="M10" s="742">
        <v>0.1</v>
      </c>
      <c r="N10" s="743">
        <v>1858</v>
      </c>
      <c r="O10" s="743">
        <v>2258</v>
      </c>
      <c r="P10" s="746">
        <f>M10*N10*26.1</f>
        <v>4849.38</v>
      </c>
      <c r="Q10" s="746">
        <f>M10*O10*26.1</f>
        <v>5893.380000000001</v>
      </c>
      <c r="R10" s="491"/>
    </row>
    <row r="11" spans="1:18" ht="12.75" customHeight="1" x14ac:dyDescent="0.2">
      <c r="A11" s="942" t="s">
        <v>576</v>
      </c>
      <c r="B11" s="942"/>
      <c r="C11" s="942"/>
      <c r="D11" s="942"/>
      <c r="E11" s="942"/>
      <c r="F11" s="942"/>
      <c r="G11" s="942"/>
      <c r="H11" s="942"/>
      <c r="J11" s="741"/>
      <c r="K11" s="971"/>
      <c r="L11" s="972"/>
      <c r="M11" s="742"/>
      <c r="N11" s="743"/>
      <c r="O11" s="743"/>
      <c r="P11" s="606"/>
      <c r="Q11" s="606"/>
      <c r="R11" s="491"/>
    </row>
    <row r="12" spans="1:18" x14ac:dyDescent="0.2">
      <c r="A12" s="942"/>
      <c r="B12" s="942"/>
      <c r="C12" s="942"/>
      <c r="D12" s="942"/>
      <c r="E12" s="942"/>
      <c r="F12" s="942"/>
      <c r="G12" s="942"/>
      <c r="H12" s="942"/>
      <c r="J12" s="497" t="s">
        <v>577</v>
      </c>
      <c r="K12" s="497"/>
      <c r="L12" s="394"/>
      <c r="M12" s="617"/>
      <c r="N12" s="491"/>
      <c r="O12" s="491"/>
      <c r="P12" s="491"/>
      <c r="Q12" s="491"/>
      <c r="R12" s="491"/>
    </row>
    <row r="13" spans="1:18" x14ac:dyDescent="0.2">
      <c r="J13" s="963" t="s">
        <v>461</v>
      </c>
      <c r="K13" s="965" t="s">
        <v>457</v>
      </c>
      <c r="L13" s="966" t="s">
        <v>460</v>
      </c>
      <c r="M13" s="966" t="s">
        <v>459</v>
      </c>
      <c r="N13" s="966" t="s">
        <v>458</v>
      </c>
      <c r="O13" s="966" t="s">
        <v>578</v>
      </c>
      <c r="P13" s="966" t="s">
        <v>579</v>
      </c>
      <c r="Q13" s="966" t="s">
        <v>580</v>
      </c>
      <c r="R13" s="491"/>
    </row>
    <row r="14" spans="1:18" x14ac:dyDescent="0.2">
      <c r="J14" s="964"/>
      <c r="K14" s="965"/>
      <c r="L14" s="966"/>
      <c r="M14" s="966"/>
      <c r="N14" s="966"/>
      <c r="O14" s="966"/>
      <c r="P14" s="966"/>
      <c r="Q14" s="966"/>
      <c r="R14" s="491"/>
    </row>
    <row r="15" spans="1:18" x14ac:dyDescent="0.2">
      <c r="J15" s="618"/>
      <c r="K15" s="619"/>
      <c r="L15" s="620"/>
      <c r="M15" s="619">
        <f>P11*L15</f>
        <v>0</v>
      </c>
      <c r="N15" s="619">
        <f>Q11*L15</f>
        <v>0</v>
      </c>
      <c r="O15" s="619">
        <f>K15*M11</f>
        <v>0</v>
      </c>
      <c r="P15" s="619">
        <f>M15+O15</f>
        <v>0</v>
      </c>
      <c r="Q15" s="619">
        <f>N15+O15</f>
        <v>0</v>
      </c>
      <c r="R15" s="491"/>
    </row>
    <row r="17" spans="1:8" ht="15.75" customHeight="1" x14ac:dyDescent="0.2"/>
    <row r="20" spans="1:8" ht="15.75" customHeight="1" x14ac:dyDescent="0.2"/>
    <row r="24" spans="1:8" ht="30" customHeight="1" x14ac:dyDescent="0.2"/>
    <row r="26" spans="1:8" ht="12.75" customHeight="1" x14ac:dyDescent="0.2"/>
    <row r="29" spans="1:8" ht="25.5" customHeight="1" x14ac:dyDescent="0.2"/>
    <row r="32" spans="1:8" x14ac:dyDescent="0.2">
      <c r="A32" s="621"/>
      <c r="B32" s="621"/>
      <c r="C32" s="621"/>
      <c r="D32" s="621"/>
      <c r="E32" s="621"/>
      <c r="F32" s="621"/>
      <c r="G32" s="621"/>
      <c r="H32" s="621"/>
    </row>
    <row r="33" spans="1:8" x14ac:dyDescent="0.2">
      <c r="A33" s="967" t="s">
        <v>581</v>
      </c>
      <c r="B33" s="967"/>
      <c r="C33" s="967"/>
      <c r="D33" s="967"/>
      <c r="E33" s="967"/>
      <c r="F33" s="967"/>
      <c r="G33" s="967"/>
      <c r="H33" s="967"/>
    </row>
    <row r="34" spans="1:8" ht="28.5" customHeight="1" x14ac:dyDescent="0.2">
      <c r="A34" s="968" t="s">
        <v>582</v>
      </c>
      <c r="B34" s="968"/>
      <c r="C34" s="968"/>
      <c r="D34" s="968"/>
      <c r="E34" s="968"/>
      <c r="F34" s="968"/>
      <c r="G34" s="968"/>
      <c r="H34" s="968"/>
    </row>
    <row r="35" spans="1:8" x14ac:dyDescent="0.2">
      <c r="A35" s="962" t="s">
        <v>583</v>
      </c>
      <c r="B35" s="962"/>
      <c r="C35" s="962"/>
      <c r="D35" s="962"/>
      <c r="E35" s="962"/>
      <c r="F35" s="962"/>
      <c r="G35" s="962"/>
      <c r="H35" s="962"/>
    </row>
    <row r="36" spans="1:8" x14ac:dyDescent="0.2">
      <c r="A36" s="962" t="s">
        <v>584</v>
      </c>
      <c r="B36" s="962"/>
      <c r="C36" s="962"/>
      <c r="D36" s="962"/>
      <c r="E36" s="962"/>
      <c r="F36" s="962"/>
      <c r="G36" s="962"/>
      <c r="H36" s="962"/>
    </row>
    <row r="37" spans="1:8" x14ac:dyDescent="0.2">
      <c r="A37" s="962" t="s">
        <v>585</v>
      </c>
      <c r="B37" s="962"/>
      <c r="C37" s="962"/>
      <c r="D37" s="962"/>
      <c r="E37" s="962"/>
      <c r="F37" s="962"/>
      <c r="G37" s="962"/>
      <c r="H37" s="962"/>
    </row>
    <row r="38" spans="1:8" x14ac:dyDescent="0.2">
      <c r="A38" s="962" t="s">
        <v>586</v>
      </c>
      <c r="B38" s="962"/>
      <c r="C38" s="962"/>
      <c r="D38" s="962"/>
      <c r="E38" s="962"/>
      <c r="F38" s="962"/>
      <c r="G38" s="962"/>
      <c r="H38" s="962"/>
    </row>
    <row r="39" spans="1:8" x14ac:dyDescent="0.2">
      <c r="A39" s="621"/>
      <c r="B39" s="621"/>
      <c r="C39" s="621"/>
      <c r="D39" s="621"/>
      <c r="E39" s="621"/>
      <c r="F39" s="621"/>
      <c r="G39" s="621"/>
      <c r="H39" s="621"/>
    </row>
    <row r="40" spans="1:8" x14ac:dyDescent="0.2">
      <c r="A40" s="969" t="s">
        <v>587</v>
      </c>
      <c r="B40" s="969"/>
      <c r="C40" s="969"/>
      <c r="D40" s="969"/>
      <c r="E40" s="969"/>
      <c r="F40" s="969"/>
      <c r="G40" s="969"/>
      <c r="H40" s="969"/>
    </row>
    <row r="41" spans="1:8" ht="27.75" customHeight="1" x14ac:dyDescent="0.2">
      <c r="A41" s="962" t="s">
        <v>751</v>
      </c>
      <c r="B41" s="962"/>
      <c r="C41" s="962"/>
      <c r="D41" s="962"/>
      <c r="E41" s="962"/>
      <c r="F41" s="962"/>
      <c r="G41" s="962"/>
      <c r="H41" s="962"/>
    </row>
    <row r="42" spans="1:8" x14ac:dyDescent="0.2">
      <c r="A42" s="962"/>
      <c r="B42" s="962"/>
      <c r="C42" s="962"/>
      <c r="D42" s="962"/>
      <c r="E42" s="962"/>
      <c r="F42" s="962"/>
      <c r="G42" s="962"/>
      <c r="H42" s="962"/>
    </row>
    <row r="43" spans="1:8" x14ac:dyDescent="0.2">
      <c r="A43" s="969" t="s">
        <v>588</v>
      </c>
      <c r="B43" s="969"/>
      <c r="C43" s="969"/>
      <c r="D43" s="969"/>
      <c r="E43" s="969"/>
      <c r="F43" s="969"/>
      <c r="G43" s="969"/>
      <c r="H43" s="969"/>
    </row>
    <row r="44" spans="1:8" x14ac:dyDescent="0.2">
      <c r="A44" s="962" t="s">
        <v>747</v>
      </c>
      <c r="B44" s="962"/>
      <c r="C44" s="962"/>
      <c r="D44" s="962"/>
      <c r="E44" s="962"/>
      <c r="F44" s="962"/>
      <c r="G44" s="962"/>
      <c r="H44" s="962"/>
    </row>
    <row r="45" spans="1:8" x14ac:dyDescent="0.2">
      <c r="A45" s="962"/>
      <c r="B45" s="962"/>
      <c r="C45" s="962"/>
      <c r="D45" s="962"/>
      <c r="E45" s="962"/>
      <c r="F45" s="962"/>
      <c r="G45" s="962"/>
      <c r="H45" s="962"/>
    </row>
    <row r="46" spans="1:8" ht="26.25" customHeight="1" x14ac:dyDescent="0.2">
      <c r="A46" s="969" t="s">
        <v>589</v>
      </c>
      <c r="B46" s="969"/>
      <c r="C46" s="969"/>
      <c r="D46" s="969"/>
      <c r="E46" s="969"/>
      <c r="F46" s="969"/>
      <c r="G46" s="969"/>
      <c r="H46" s="969"/>
    </row>
    <row r="47" spans="1:8" x14ac:dyDescent="0.2">
      <c r="A47" s="970"/>
      <c r="B47" s="970"/>
      <c r="C47" s="970"/>
      <c r="D47" s="970"/>
      <c r="E47" s="970"/>
      <c r="F47" s="970"/>
      <c r="G47" s="970"/>
      <c r="H47" s="970"/>
    </row>
    <row r="48" spans="1:8" x14ac:dyDescent="0.2">
      <c r="A48" s="970"/>
      <c r="B48" s="970"/>
      <c r="C48" s="970"/>
      <c r="D48" s="970"/>
      <c r="E48" s="970"/>
      <c r="F48" s="970"/>
      <c r="G48" s="970"/>
      <c r="H48" s="970"/>
    </row>
  </sheetData>
  <mergeCells count="28">
    <mergeCell ref="A46:H46"/>
    <mergeCell ref="A47:H48"/>
    <mergeCell ref="A37:H37"/>
    <mergeCell ref="A38:H38"/>
    <mergeCell ref="A40:H40"/>
    <mergeCell ref="A41:H42"/>
    <mergeCell ref="A43:H43"/>
    <mergeCell ref="A44:H45"/>
    <mergeCell ref="P13:P14"/>
    <mergeCell ref="Q13:Q14"/>
    <mergeCell ref="A33:H33"/>
    <mergeCell ref="A34:H34"/>
    <mergeCell ref="A35:H35"/>
    <mergeCell ref="N13:N14"/>
    <mergeCell ref="O13:O14"/>
    <mergeCell ref="A36:H36"/>
    <mergeCell ref="J13:J14"/>
    <mergeCell ref="K13:K14"/>
    <mergeCell ref="L13:L14"/>
    <mergeCell ref="M13:M14"/>
    <mergeCell ref="A11:H12"/>
    <mergeCell ref="K11:L11"/>
    <mergeCell ref="A5:E5"/>
    <mergeCell ref="J5:N6"/>
    <mergeCell ref="O5:Q6"/>
    <mergeCell ref="K9:L9"/>
    <mergeCell ref="N9:O9"/>
    <mergeCell ref="K10:L10"/>
  </mergeCells>
  <pageMargins left="0.7" right="0.7" top="0.75" bottom="0.75" header="0.3" footer="0.3"/>
  <pageSetup scale="79" orientation="landscape" r:id="rId1"/>
  <headerFooter>
    <oddFooter>&amp;R&amp;8&amp;Z&amp;F, &amp;A</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workbookViewId="0">
      <selection activeCell="C25" sqref="C25"/>
    </sheetView>
  </sheetViews>
  <sheetFormatPr defaultColWidth="8.85546875" defaultRowHeight="12.75" x14ac:dyDescent="0.2"/>
  <cols>
    <col min="1" max="1" width="19.28515625" style="593" customWidth="1"/>
    <col min="2" max="2" width="19.85546875" style="593" customWidth="1"/>
    <col min="3" max="3" width="21.42578125" style="593" customWidth="1"/>
    <col min="4" max="16384" width="8.85546875" style="593"/>
  </cols>
  <sheetData>
    <row r="1" spans="1:17" s="491" customFormat="1" ht="18" x14ac:dyDescent="0.25">
      <c r="A1" s="490" t="s">
        <v>476</v>
      </c>
      <c r="C1" s="492"/>
    </row>
    <row r="2" spans="1:17" s="491" customFormat="1" ht="18" x14ac:dyDescent="0.25">
      <c r="A2" s="490"/>
      <c r="C2" s="492"/>
    </row>
    <row r="3" spans="1:17" s="491" customFormat="1" x14ac:dyDescent="0.2">
      <c r="A3" s="493" t="s">
        <v>478</v>
      </c>
      <c r="C3" s="492"/>
    </row>
    <row r="4" spans="1:17" s="491" customFormat="1" x14ac:dyDescent="0.2">
      <c r="A4" s="391" t="s">
        <v>737</v>
      </c>
      <c r="B4" s="391"/>
      <c r="C4" s="492"/>
    </row>
    <row r="5" spans="1:17" s="491" customFormat="1" x14ac:dyDescent="0.2">
      <c r="A5" s="391" t="s">
        <v>738</v>
      </c>
      <c r="B5" s="391"/>
      <c r="C5" s="492"/>
    </row>
    <row r="6" spans="1:17" s="491" customFormat="1" x14ac:dyDescent="0.2">
      <c r="A6" s="747" t="s">
        <v>563</v>
      </c>
      <c r="B6" s="391"/>
      <c r="C6" s="492"/>
      <c r="H6" s="493"/>
      <c r="K6" s="493"/>
    </row>
    <row r="9" spans="1:17" s="493" customFormat="1" x14ac:dyDescent="0.2">
      <c r="A9" s="494" t="s">
        <v>479</v>
      </c>
      <c r="B9" s="495"/>
      <c r="C9" s="496"/>
      <c r="D9" s="497"/>
      <c r="E9" s="497"/>
      <c r="F9" s="498"/>
      <c r="G9" s="498"/>
      <c r="H9" s="498"/>
      <c r="I9" s="498"/>
      <c r="J9" s="592"/>
      <c r="K9" s="592"/>
      <c r="L9" s="592"/>
      <c r="M9" s="592"/>
      <c r="N9" s="592"/>
      <c r="O9" s="592"/>
      <c r="P9" s="592"/>
      <c r="Q9" s="592"/>
    </row>
    <row r="10" spans="1:17" s="493" customFormat="1" ht="5.25" customHeight="1" x14ac:dyDescent="0.2">
      <c r="A10" s="494"/>
      <c r="B10" s="495"/>
      <c r="C10" s="496"/>
      <c r="D10" s="497"/>
      <c r="E10" s="497"/>
      <c r="F10" s="498"/>
      <c r="G10" s="498"/>
      <c r="H10" s="498"/>
      <c r="I10" s="498"/>
      <c r="J10" s="592"/>
      <c r="K10" s="592"/>
      <c r="L10" s="592"/>
      <c r="M10" s="592"/>
      <c r="N10" s="592"/>
      <c r="O10" s="592"/>
      <c r="P10" s="592"/>
      <c r="Q10" s="592"/>
    </row>
    <row r="11" spans="1:17" s="491" customFormat="1" x14ac:dyDescent="0.2">
      <c r="A11" s="499"/>
      <c r="B11" s="500" t="s">
        <v>480</v>
      </c>
      <c r="C11" s="501" t="s">
        <v>481</v>
      </c>
      <c r="D11" s="394"/>
      <c r="E11" s="394"/>
      <c r="F11" s="415"/>
      <c r="G11" s="415"/>
      <c r="H11" s="415"/>
      <c r="I11" s="415"/>
      <c r="J11" s="593"/>
      <c r="K11" s="593"/>
      <c r="L11" s="593"/>
      <c r="M11" s="593"/>
      <c r="N11" s="593"/>
      <c r="O11" s="593"/>
      <c r="P11" s="593"/>
      <c r="Q11" s="593"/>
    </row>
    <row r="12" spans="1:17" s="491" customFormat="1" x14ac:dyDescent="0.2">
      <c r="A12" s="499" t="s">
        <v>482</v>
      </c>
      <c r="B12" s="725">
        <v>420755.95914448844</v>
      </c>
      <c r="C12" s="726">
        <v>510239.12241233076</v>
      </c>
      <c r="D12" s="394"/>
      <c r="E12" s="394"/>
      <c r="F12" s="415"/>
      <c r="G12" s="415"/>
      <c r="H12" s="415"/>
      <c r="I12" s="415"/>
      <c r="J12" s="593"/>
      <c r="K12" s="593"/>
      <c r="L12" s="593"/>
      <c r="M12" s="593"/>
      <c r="N12" s="593"/>
      <c r="O12" s="593"/>
      <c r="P12" s="593"/>
      <c r="Q12" s="593"/>
    </row>
    <row r="13" spans="1:17" s="491" customFormat="1" x14ac:dyDescent="0.2">
      <c r="A13" s="499" t="s">
        <v>483</v>
      </c>
      <c r="B13" s="503">
        <f>SUM('[11]Prop J - Main'!F36:F39)</f>
        <v>0</v>
      </c>
      <c r="C13" s="503">
        <f>SUM('[11]Prop J - Main'!G36:G39)</f>
        <v>0</v>
      </c>
      <c r="D13" s="394"/>
      <c r="E13" s="394"/>
      <c r="F13" s="415"/>
      <c r="G13" s="415"/>
      <c r="H13" s="415"/>
      <c r="I13" s="415"/>
      <c r="J13" s="593"/>
      <c r="K13" s="593"/>
      <c r="L13" s="593"/>
      <c r="M13" s="593"/>
      <c r="N13" s="593"/>
      <c r="O13" s="593"/>
      <c r="P13" s="593"/>
      <c r="Q13" s="593"/>
    </row>
    <row r="14" spans="1:17" s="491" customFormat="1" x14ac:dyDescent="0.2">
      <c r="A14" s="499" t="s">
        <v>443</v>
      </c>
      <c r="B14" s="744">
        <v>45020</v>
      </c>
      <c r="C14" s="744">
        <v>54595</v>
      </c>
      <c r="D14" s="394"/>
      <c r="E14" s="394"/>
      <c r="F14" s="415"/>
      <c r="G14" s="415"/>
      <c r="H14" s="415"/>
      <c r="I14" s="415"/>
      <c r="J14" s="593"/>
      <c r="K14" s="593"/>
      <c r="L14" s="593"/>
      <c r="M14" s="593"/>
      <c r="N14" s="593"/>
      <c r="O14" s="593"/>
      <c r="P14" s="593"/>
      <c r="Q14" s="593"/>
    </row>
    <row r="15" spans="1:17" s="491" customFormat="1" ht="13.5" thickBot="1" x14ac:dyDescent="0.25">
      <c r="A15" s="499" t="s">
        <v>484</v>
      </c>
      <c r="B15" s="504">
        <f>'[11]Prop J - Main'!F52</f>
        <v>0</v>
      </c>
      <c r="C15" s="504">
        <f>'[11]Prop J - Main'!G52</f>
        <v>0</v>
      </c>
      <c r="D15" s="394"/>
      <c r="E15" s="394"/>
      <c r="F15" s="415"/>
      <c r="G15" s="415"/>
      <c r="H15" s="415"/>
      <c r="I15" s="415"/>
      <c r="J15" s="593"/>
      <c r="K15" s="593"/>
      <c r="L15" s="593"/>
      <c r="M15" s="593"/>
      <c r="N15" s="593"/>
      <c r="O15" s="593"/>
      <c r="P15" s="593"/>
      <c r="Q15" s="593"/>
    </row>
    <row r="16" spans="1:17" ht="13.5" thickTop="1" x14ac:dyDescent="0.2">
      <c r="B16" s="745">
        <f>SUM(B12:B15)</f>
        <v>465775.95914448844</v>
      </c>
      <c r="C16" s="745">
        <f>SUM(C12:C15)</f>
        <v>564834.1224123307</v>
      </c>
    </row>
    <row r="18" spans="1:3" s="592" customFormat="1" x14ac:dyDescent="0.2">
      <c r="A18" s="494" t="s">
        <v>485</v>
      </c>
    </row>
    <row r="19" spans="1:3" x14ac:dyDescent="0.2">
      <c r="B19" s="500"/>
      <c r="C19" s="501"/>
    </row>
    <row r="20" spans="1:3" x14ac:dyDescent="0.2">
      <c r="A20" s="593" t="s">
        <v>486</v>
      </c>
      <c r="B20" s="748">
        <v>-160000</v>
      </c>
      <c r="C20" s="748">
        <v>-170000</v>
      </c>
    </row>
    <row r="21" spans="1:3" ht="13.5" thickBot="1" x14ac:dyDescent="0.25">
      <c r="A21" s="593" t="s">
        <v>487</v>
      </c>
      <c r="B21" s="749">
        <v>-4849.38</v>
      </c>
      <c r="C21" s="749">
        <v>-5893.38</v>
      </c>
    </row>
    <row r="22" spans="1:3" ht="13.5" thickTop="1" x14ac:dyDescent="0.2">
      <c r="B22" s="745">
        <f>SUM(B20:B21)</f>
        <v>-164849.38</v>
      </c>
      <c r="C22" s="745">
        <f>SUM(C20:C21)</f>
        <v>-175893.38</v>
      </c>
    </row>
    <row r="24" spans="1:3" ht="13.5" thickBot="1" x14ac:dyDescent="0.25"/>
    <row r="25" spans="1:3" ht="39" thickBot="1" x14ac:dyDescent="0.25">
      <c r="A25" s="594" t="s">
        <v>488</v>
      </c>
      <c r="B25" s="750">
        <f>B16+B22</f>
        <v>300926.57914448844</v>
      </c>
      <c r="C25" s="751">
        <f>C16+C22</f>
        <v>388940.7424123307</v>
      </c>
    </row>
    <row r="28" spans="1:3" x14ac:dyDescent="0.2">
      <c r="A28" s="595" t="s">
        <v>489</v>
      </c>
    </row>
    <row r="29" spans="1:3" x14ac:dyDescent="0.2">
      <c r="A29" s="596" t="s">
        <v>749</v>
      </c>
    </row>
    <row r="30" spans="1:3" x14ac:dyDescent="0.2">
      <c r="A30" s="596" t="s">
        <v>750</v>
      </c>
    </row>
    <row r="32" spans="1:3" x14ac:dyDescent="0.2">
      <c r="A32" s="593" t="s">
        <v>492</v>
      </c>
    </row>
    <row r="33" spans="1:1" x14ac:dyDescent="0.2">
      <c r="A33" s="596" t="s">
        <v>490</v>
      </c>
    </row>
    <row r="34" spans="1:1" x14ac:dyDescent="0.2">
      <c r="A34" s="596" t="s">
        <v>491</v>
      </c>
    </row>
  </sheetData>
  <pageMargins left="0.7" right="0.7" top="0.75" bottom="0.75" header="0.3" footer="0.3"/>
  <pageSetup orientation="portrait" r:id="rId1"/>
  <headerFooter>
    <oddFooter>&amp;R&amp;8&amp;Z&amp;F, &amp;A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Q54"/>
  <sheetViews>
    <sheetView workbookViewId="0">
      <pane xSplit="8" ySplit="10" topLeftCell="I17" activePane="bottomRight" state="frozen"/>
      <selection activeCell="A6" sqref="A6"/>
      <selection pane="topRight" activeCell="A6" sqref="A6"/>
      <selection pane="bottomLeft" activeCell="A6" sqref="A6"/>
      <selection pane="bottomRight" activeCell="J2" sqref="J2:L5"/>
    </sheetView>
  </sheetViews>
  <sheetFormatPr defaultColWidth="7.42578125" defaultRowHeight="12.75" x14ac:dyDescent="0.2"/>
  <cols>
    <col min="1" max="1" width="7.42578125" style="491"/>
    <col min="2" max="2" width="37" style="491" customWidth="1"/>
    <col min="3" max="3" width="5.7109375" style="491" bestFit="1" customWidth="1"/>
    <col min="4" max="4" width="12.140625" style="492" bestFit="1" customWidth="1"/>
    <col min="5" max="6" width="7.42578125" style="491"/>
    <col min="7" max="7" width="12.7109375" style="491" customWidth="1"/>
    <col min="8" max="8" width="12.85546875" style="491" customWidth="1"/>
    <col min="9" max="9" width="5.42578125" style="491" customWidth="1"/>
    <col min="10" max="10" width="10.140625" style="491" customWidth="1"/>
    <col min="11" max="11" width="7.42578125" style="491"/>
    <col min="12" max="12" width="7.85546875" style="491" customWidth="1"/>
    <col min="13" max="13" width="8.42578125" style="491" customWidth="1"/>
    <col min="14" max="14" width="10.7109375" style="491" bestFit="1" customWidth="1"/>
    <col min="15" max="15" width="11.42578125" style="491" customWidth="1"/>
    <col min="16" max="16" width="10.85546875" style="491" customWidth="1"/>
    <col min="17" max="17" width="9.7109375" style="491" hidden="1" customWidth="1"/>
    <col min="18" max="16384" width="7.42578125" style="491"/>
  </cols>
  <sheetData>
    <row r="2" spans="2:17" x14ac:dyDescent="0.2">
      <c r="B2" s="505" t="s">
        <v>493</v>
      </c>
      <c r="C2" s="398"/>
      <c r="J2" s="597"/>
    </row>
    <row r="3" spans="2:17" x14ac:dyDescent="0.2">
      <c r="B3" s="406" t="s">
        <v>494</v>
      </c>
      <c r="C3" s="398"/>
      <c r="J3" s="483"/>
    </row>
    <row r="4" spans="2:17" x14ac:dyDescent="0.2">
      <c r="B4" s="398" t="s">
        <v>473</v>
      </c>
      <c r="C4" s="398"/>
      <c r="J4" s="483"/>
    </row>
    <row r="5" spans="2:17" x14ac:dyDescent="0.2">
      <c r="B5" s="591" t="s">
        <v>477</v>
      </c>
      <c r="C5" s="398"/>
    </row>
    <row r="6" spans="2:17" ht="15.75" x14ac:dyDescent="0.25">
      <c r="B6" s="506"/>
      <c r="C6" s="398"/>
      <c r="J6" s="507" t="s">
        <v>472</v>
      </c>
    </row>
    <row r="7" spans="2:17" x14ac:dyDescent="0.2">
      <c r="B7" s="493" t="s">
        <v>471</v>
      </c>
      <c r="C7" s="398"/>
      <c r="I7" s="508"/>
    </row>
    <row r="8" spans="2:17" x14ac:dyDescent="0.2">
      <c r="B8" s="493"/>
      <c r="C8" s="398"/>
      <c r="J8" s="493" t="s">
        <v>470</v>
      </c>
      <c r="L8" s="483"/>
    </row>
    <row r="9" spans="2:17" x14ac:dyDescent="0.2">
      <c r="B9" s="482" t="s">
        <v>469</v>
      </c>
      <c r="K9" s="493"/>
    </row>
    <row r="10" spans="2:17" ht="42.75" customHeight="1" x14ac:dyDescent="0.2">
      <c r="B10" s="509" t="s">
        <v>468</v>
      </c>
      <c r="C10" s="476" t="s">
        <v>467</v>
      </c>
      <c r="D10" s="510" t="s">
        <v>466</v>
      </c>
      <c r="E10" s="511" t="s">
        <v>465</v>
      </c>
      <c r="F10" s="511"/>
      <c r="G10" s="476" t="s">
        <v>464</v>
      </c>
      <c r="H10" s="476" t="s">
        <v>463</v>
      </c>
      <c r="I10" s="474"/>
      <c r="J10" s="473" t="s">
        <v>462</v>
      </c>
      <c r="K10" s="512" t="s">
        <v>461</v>
      </c>
      <c r="L10" s="513" t="s">
        <v>457</v>
      </c>
      <c r="M10" s="513" t="s">
        <v>460</v>
      </c>
      <c r="N10" s="513" t="s">
        <v>459</v>
      </c>
      <c r="O10" s="513" t="s">
        <v>458</v>
      </c>
      <c r="P10" s="514" t="s">
        <v>457</v>
      </c>
    </row>
    <row r="11" spans="2:17" x14ac:dyDescent="0.2">
      <c r="B11" s="515" t="s">
        <v>495</v>
      </c>
      <c r="C11" s="598">
        <v>9163</v>
      </c>
      <c r="D11" s="599">
        <v>113</v>
      </c>
      <c r="E11" s="600">
        <f>18.597625*80</f>
        <v>1487.81</v>
      </c>
      <c r="F11" s="600">
        <f>29.52*80</f>
        <v>2361.6</v>
      </c>
      <c r="G11" s="516">
        <f t="shared" ref="G11:G21" si="0">D11*E11*26.1</f>
        <v>4387998.0329999998</v>
      </c>
      <c r="H11" s="516">
        <f t="shared" ref="H11:H21" si="1">D11*F11*26.1</f>
        <v>6965066.8799999999</v>
      </c>
      <c r="I11" s="463"/>
      <c r="J11" s="462" t="s">
        <v>455</v>
      </c>
      <c r="K11" s="517">
        <v>253</v>
      </c>
      <c r="L11" s="518">
        <f>6510.98+4666.12+1725.78</f>
        <v>12902.88</v>
      </c>
      <c r="M11" s="519">
        <f>0.165+0.062+0.0145+0.075+0.003</f>
        <v>0.31950000000000001</v>
      </c>
      <c r="N11" s="518">
        <f>G11*M11</f>
        <v>1401965.3715434999</v>
      </c>
      <c r="O11" s="518">
        <f>H11*M11</f>
        <v>2225338.8681600001</v>
      </c>
      <c r="P11" s="520">
        <f>D11*L11</f>
        <v>1458025.44</v>
      </c>
      <c r="Q11" s="601" t="s">
        <v>456</v>
      </c>
    </row>
    <row r="12" spans="2:17" x14ac:dyDescent="0.2">
      <c r="B12" s="521" t="s">
        <v>496</v>
      </c>
      <c r="C12" s="522">
        <v>7312</v>
      </c>
      <c r="D12" s="523">
        <v>231</v>
      </c>
      <c r="E12" s="416">
        <f>E11*0.8</f>
        <v>1190.248</v>
      </c>
      <c r="F12" s="416">
        <f>F11*0.8</f>
        <v>1889.28</v>
      </c>
      <c r="G12" s="416">
        <f t="shared" si="0"/>
        <v>7176124.2168000005</v>
      </c>
      <c r="H12" s="416">
        <f t="shared" si="1"/>
        <v>11390658.048</v>
      </c>
      <c r="I12" s="415"/>
      <c r="J12" s="524" t="s">
        <v>455</v>
      </c>
      <c r="K12" s="524">
        <v>253</v>
      </c>
      <c r="L12" s="518">
        <f>L11</f>
        <v>12902.88</v>
      </c>
      <c r="M12" s="519">
        <f>M11</f>
        <v>0.31950000000000001</v>
      </c>
      <c r="N12" s="518">
        <f t="shared" ref="N12:N21" si="2">G12*M12</f>
        <v>2292771.6872676001</v>
      </c>
      <c r="O12" s="518">
        <f t="shared" ref="O12:O21" si="3">H12*M12</f>
        <v>3639315.246336</v>
      </c>
      <c r="P12" s="520">
        <f t="shared" ref="P12:P21" si="4">D12*L12</f>
        <v>2980565.28</v>
      </c>
      <c r="Q12" s="601" t="s">
        <v>455</v>
      </c>
    </row>
    <row r="13" spans="2:17" x14ac:dyDescent="0.2">
      <c r="B13" s="521" t="s">
        <v>497</v>
      </c>
      <c r="C13" s="522">
        <v>7382</v>
      </c>
      <c r="D13" s="523">
        <v>2</v>
      </c>
      <c r="E13" s="416">
        <f>42.0008620689655*80</f>
        <v>3360.06896551724</v>
      </c>
      <c r="F13" s="416">
        <f>42.0008620689655*80</f>
        <v>3360.06896551724</v>
      </c>
      <c r="G13" s="416">
        <f t="shared" si="0"/>
        <v>175395.59999999995</v>
      </c>
      <c r="H13" s="416">
        <f t="shared" si="1"/>
        <v>175395.59999999995</v>
      </c>
      <c r="I13" s="415"/>
      <c r="J13" s="524" t="s">
        <v>455</v>
      </c>
      <c r="K13" s="524">
        <v>130</v>
      </c>
      <c r="L13" s="518">
        <f>6484.79+6053.65+1725.78</f>
        <v>14264.22</v>
      </c>
      <c r="M13" s="519">
        <f>0.165+0.062+0.0145+0.003</f>
        <v>0.24450000000000002</v>
      </c>
      <c r="N13" s="518">
        <f t="shared" si="2"/>
        <v>42884.22419999999</v>
      </c>
      <c r="O13" s="518">
        <f t="shared" si="3"/>
        <v>42884.22419999999</v>
      </c>
      <c r="P13" s="520">
        <f t="shared" si="4"/>
        <v>28528.44</v>
      </c>
      <c r="Q13" s="601" t="s">
        <v>454</v>
      </c>
    </row>
    <row r="14" spans="2:17" x14ac:dyDescent="0.2">
      <c r="B14" s="521" t="s">
        <v>498</v>
      </c>
      <c r="C14" s="525">
        <v>7381</v>
      </c>
      <c r="D14" s="459">
        <v>12</v>
      </c>
      <c r="E14" s="440">
        <f>34.8576149425287*80</f>
        <v>2788.6091954022959</v>
      </c>
      <c r="F14" s="440">
        <f>34.8576149425287*80</f>
        <v>2788.6091954022959</v>
      </c>
      <c r="G14" s="416">
        <f t="shared" si="0"/>
        <v>873392.39999999909</v>
      </c>
      <c r="H14" s="416">
        <f t="shared" si="1"/>
        <v>873392.39999999909</v>
      </c>
      <c r="I14" s="415"/>
      <c r="J14" s="524" t="s">
        <v>455</v>
      </c>
      <c r="K14" s="524">
        <v>130</v>
      </c>
      <c r="L14" s="518">
        <f>L13</f>
        <v>14264.22</v>
      </c>
      <c r="M14" s="519">
        <f>M13</f>
        <v>0.24450000000000002</v>
      </c>
      <c r="N14" s="518">
        <f>G14*M14</f>
        <v>213544.4417999998</v>
      </c>
      <c r="O14" s="518">
        <f t="shared" si="3"/>
        <v>213544.4417999998</v>
      </c>
      <c r="P14" s="520">
        <f t="shared" si="4"/>
        <v>171170.63999999998</v>
      </c>
      <c r="Q14" s="601" t="s">
        <v>453</v>
      </c>
    </row>
    <row r="15" spans="2:17" x14ac:dyDescent="0.2">
      <c r="B15" s="521" t="s">
        <v>499</v>
      </c>
      <c r="C15" s="525">
        <v>7410</v>
      </c>
      <c r="D15" s="459">
        <v>8</v>
      </c>
      <c r="E15" s="440">
        <f>23.2662356321839*80</f>
        <v>1861.2988505747121</v>
      </c>
      <c r="F15" s="440">
        <f>28.2748563218391*80</f>
        <v>2261.9885057471279</v>
      </c>
      <c r="G15" s="416">
        <f t="shared" si="0"/>
        <v>388639.1999999999</v>
      </c>
      <c r="H15" s="416">
        <f t="shared" si="1"/>
        <v>472303.2000000003</v>
      </c>
      <c r="I15" s="415"/>
      <c r="J15" s="524" t="s">
        <v>455</v>
      </c>
      <c r="K15" s="524">
        <v>252</v>
      </c>
      <c r="L15" s="518">
        <f>6078.24+4520.24+1583.28</f>
        <v>12181.76</v>
      </c>
      <c r="M15" s="519">
        <f>0.002+0.0064+0.165+0.062+0.0145</f>
        <v>0.24990000000000001</v>
      </c>
      <c r="N15" s="518">
        <f t="shared" si="2"/>
        <v>97120.936079999985</v>
      </c>
      <c r="O15" s="518">
        <f t="shared" si="3"/>
        <v>118028.56968000009</v>
      </c>
      <c r="P15" s="520">
        <f t="shared" si="4"/>
        <v>97454.080000000002</v>
      </c>
      <c r="Q15" s="601"/>
    </row>
    <row r="16" spans="2:17" x14ac:dyDescent="0.2">
      <c r="B16" s="521" t="s">
        <v>500</v>
      </c>
      <c r="C16" s="525">
        <v>9102</v>
      </c>
      <c r="D16" s="459">
        <v>7</v>
      </c>
      <c r="E16" s="440">
        <f>23.6195528522211*80</f>
        <v>1889.5642281776882</v>
      </c>
      <c r="F16" s="440">
        <f>28.7074542821428*80</f>
        <v>2296.596342571424</v>
      </c>
      <c r="G16" s="416">
        <f t="shared" si="0"/>
        <v>345223.38448806363</v>
      </c>
      <c r="H16" s="416">
        <f t="shared" si="1"/>
        <v>419588.1517877992</v>
      </c>
      <c r="I16" s="415"/>
      <c r="J16" s="524" t="s">
        <v>455</v>
      </c>
      <c r="K16" s="524">
        <v>790</v>
      </c>
      <c r="L16" s="518">
        <f>6729.9+4385.78+1725.78</f>
        <v>12841.460000000001</v>
      </c>
      <c r="M16" s="519">
        <f>0.165+0.062+0.0145+0.003+0.0064</f>
        <v>0.25090000000000001</v>
      </c>
      <c r="N16" s="518">
        <f t="shared" si="2"/>
        <v>86616.547168055171</v>
      </c>
      <c r="O16" s="518">
        <f t="shared" si="3"/>
        <v>105274.66728355883</v>
      </c>
      <c r="P16" s="520">
        <f t="shared" si="4"/>
        <v>89890.22</v>
      </c>
      <c r="Q16" s="601"/>
    </row>
    <row r="17" spans="2:17" x14ac:dyDescent="0.2">
      <c r="B17" s="521" t="s">
        <v>501</v>
      </c>
      <c r="C17" s="525">
        <v>9141</v>
      </c>
      <c r="D17" s="459">
        <v>2</v>
      </c>
      <c r="E17" s="440">
        <f>46.425*80</f>
        <v>3714</v>
      </c>
      <c r="F17" s="440">
        <f>56.425*80</f>
        <v>4514</v>
      </c>
      <c r="G17" s="416">
        <f t="shared" si="0"/>
        <v>193870.80000000002</v>
      </c>
      <c r="H17" s="416">
        <f t="shared" si="1"/>
        <v>235630.80000000002</v>
      </c>
      <c r="I17" s="415"/>
      <c r="J17" s="524" t="s">
        <v>455</v>
      </c>
      <c r="K17" s="524">
        <v>200</v>
      </c>
      <c r="L17" s="518">
        <f>6698.9+5189.94+1725.78</f>
        <v>13614.62</v>
      </c>
      <c r="M17" s="519">
        <f>0.165+0.062+0.0145+0.0064+0.003</f>
        <v>0.25090000000000001</v>
      </c>
      <c r="N17" s="518">
        <f t="shared" si="2"/>
        <v>48642.183720000008</v>
      </c>
      <c r="O17" s="518">
        <f t="shared" si="3"/>
        <v>59119.767720000011</v>
      </c>
      <c r="P17" s="520">
        <f t="shared" si="4"/>
        <v>27229.24</v>
      </c>
      <c r="Q17" s="601"/>
    </row>
    <row r="18" spans="2:17" x14ac:dyDescent="0.2">
      <c r="B18" s="521" t="s">
        <v>502</v>
      </c>
      <c r="C18" s="525">
        <v>9140</v>
      </c>
      <c r="D18" s="459">
        <v>4</v>
      </c>
      <c r="E18" s="440">
        <f>41.1125*80</f>
        <v>3289</v>
      </c>
      <c r="F18" s="440">
        <f>49.975*80</f>
        <v>3998</v>
      </c>
      <c r="G18" s="416">
        <f t="shared" si="0"/>
        <v>343371.60000000003</v>
      </c>
      <c r="H18" s="416">
        <f t="shared" si="1"/>
        <v>417391.2</v>
      </c>
      <c r="I18" s="415"/>
      <c r="J18" s="524" t="s">
        <v>455</v>
      </c>
      <c r="K18" s="524">
        <v>200</v>
      </c>
      <c r="L18" s="518">
        <f>L17</f>
        <v>13614.62</v>
      </c>
      <c r="M18" s="519">
        <f>M17</f>
        <v>0.25090000000000001</v>
      </c>
      <c r="N18" s="518">
        <f t="shared" si="2"/>
        <v>86151.934440000012</v>
      </c>
      <c r="O18" s="518">
        <f t="shared" si="3"/>
        <v>104723.45208</v>
      </c>
      <c r="P18" s="520">
        <f t="shared" si="4"/>
        <v>54458.48</v>
      </c>
      <c r="Q18" s="601"/>
    </row>
    <row r="19" spans="2:17" x14ac:dyDescent="0.2">
      <c r="B19" s="521" t="s">
        <v>503</v>
      </c>
      <c r="C19" s="525">
        <v>9139</v>
      </c>
      <c r="D19" s="459">
        <v>14</v>
      </c>
      <c r="E19" s="440">
        <f>34.825*80</f>
        <v>2786</v>
      </c>
      <c r="F19" s="440">
        <f>42.3375*80</f>
        <v>3387</v>
      </c>
      <c r="G19" s="416">
        <f t="shared" si="0"/>
        <v>1018004.4</v>
      </c>
      <c r="H19" s="416">
        <f t="shared" si="1"/>
        <v>1237609.8</v>
      </c>
      <c r="I19" s="415"/>
      <c r="J19" s="524" t="s">
        <v>455</v>
      </c>
      <c r="K19" s="524">
        <v>200</v>
      </c>
      <c r="L19" s="518">
        <f>L17</f>
        <v>13614.62</v>
      </c>
      <c r="M19" s="519">
        <f>M17</f>
        <v>0.25090000000000001</v>
      </c>
      <c r="N19" s="518">
        <f t="shared" si="2"/>
        <v>255417.30396000002</v>
      </c>
      <c r="O19" s="518">
        <f t="shared" si="3"/>
        <v>310516.29882000003</v>
      </c>
      <c r="P19" s="520">
        <f t="shared" si="4"/>
        <v>190604.68000000002</v>
      </c>
      <c r="Q19" s="601"/>
    </row>
    <row r="20" spans="2:17" x14ac:dyDescent="0.2">
      <c r="B20" s="521" t="s">
        <v>504</v>
      </c>
      <c r="C20" s="525">
        <v>1426</v>
      </c>
      <c r="D20" s="459">
        <v>6</v>
      </c>
      <c r="E20" s="440">
        <f>21.6534708375255*80</f>
        <v>1732.2776670020401</v>
      </c>
      <c r="F20" s="440">
        <f>26.3029891155218*80</f>
        <v>2104.2391292417442</v>
      </c>
      <c r="G20" s="416">
        <f t="shared" si="0"/>
        <v>271274.68265251949</v>
      </c>
      <c r="H20" s="416">
        <f t="shared" si="1"/>
        <v>329523.84763925715</v>
      </c>
      <c r="I20" s="415"/>
      <c r="J20" s="524" t="s">
        <v>455</v>
      </c>
      <c r="K20" s="524">
        <v>790</v>
      </c>
      <c r="L20" s="518">
        <f>L16</f>
        <v>12841.460000000001</v>
      </c>
      <c r="M20" s="519">
        <f>M16</f>
        <v>0.25090000000000001</v>
      </c>
      <c r="N20" s="518">
        <f t="shared" si="2"/>
        <v>68062.81787751714</v>
      </c>
      <c r="O20" s="518">
        <f t="shared" si="3"/>
        <v>82677.533372689621</v>
      </c>
      <c r="P20" s="520">
        <f t="shared" si="4"/>
        <v>77048.760000000009</v>
      </c>
      <c r="Q20" s="601"/>
    </row>
    <row r="21" spans="2:17" x14ac:dyDescent="0.2">
      <c r="B21" s="521" t="s">
        <v>505</v>
      </c>
      <c r="C21" s="525">
        <v>2905</v>
      </c>
      <c r="D21" s="459">
        <v>5</v>
      </c>
      <c r="E21" s="440">
        <f>27.0070590261898*80</f>
        <v>2160.5647220951842</v>
      </c>
      <c r="F21" s="440">
        <f>32.8388833805909*80</f>
        <v>2627.1106704472722</v>
      </c>
      <c r="G21" s="416">
        <f t="shared" si="0"/>
        <v>281953.69623342151</v>
      </c>
      <c r="H21" s="416">
        <f t="shared" si="1"/>
        <v>342837.94249336905</v>
      </c>
      <c r="I21" s="415"/>
      <c r="J21" s="524" t="s">
        <v>455</v>
      </c>
      <c r="K21" s="524">
        <v>535</v>
      </c>
      <c r="L21" s="518">
        <f>6666.83+4588.69+1725.78</f>
        <v>12981.300000000001</v>
      </c>
      <c r="M21" s="519">
        <f>0.003+0.0064+0.165+0.062+0.0145</f>
        <v>0.25090000000000001</v>
      </c>
      <c r="N21" s="518">
        <f t="shared" si="2"/>
        <v>70742.182384965461</v>
      </c>
      <c r="O21" s="518">
        <f t="shared" si="3"/>
        <v>86018.039771586293</v>
      </c>
      <c r="P21" s="520">
        <f t="shared" si="4"/>
        <v>64906.500000000007</v>
      </c>
      <c r="Q21" s="601"/>
    </row>
    <row r="22" spans="2:17" ht="6" customHeight="1" x14ac:dyDescent="0.2">
      <c r="B22" s="499"/>
      <c r="C22" s="526"/>
      <c r="D22" s="527"/>
      <c r="E22" s="394"/>
      <c r="F22" s="394"/>
      <c r="G22" s="415"/>
      <c r="H22" s="415"/>
      <c r="I22" s="415"/>
      <c r="J22" s="528"/>
      <c r="K22" s="529"/>
      <c r="L22" s="518"/>
      <c r="M22" s="519"/>
      <c r="N22" s="518"/>
      <c r="O22" s="518"/>
      <c r="P22" s="520"/>
    </row>
    <row r="23" spans="2:17" x14ac:dyDescent="0.2">
      <c r="B23" s="530" t="s">
        <v>506</v>
      </c>
      <c r="C23" s="442"/>
      <c r="D23" s="441"/>
      <c r="E23" s="440"/>
      <c r="F23" s="440"/>
      <c r="G23" s="416">
        <f>SUM(G13:G21)/260*11*1.5*0.5</f>
        <v>123468.41364552126</v>
      </c>
      <c r="H23" s="416">
        <f>SUM(H13:H21)/260*11*1.5*0.5</f>
        <v>142905.00681093655</v>
      </c>
      <c r="I23" s="415"/>
      <c r="J23" s="531" t="s">
        <v>449</v>
      </c>
      <c r="K23" s="529"/>
      <c r="L23" s="532" t="s">
        <v>449</v>
      </c>
      <c r="M23" s="519">
        <f>0.0765+0.003</f>
        <v>7.9500000000000001E-2</v>
      </c>
      <c r="N23" s="518">
        <f>G23*M23</f>
        <v>9815.7388848189403</v>
      </c>
      <c r="O23" s="518">
        <f>H23*M23</f>
        <v>11360.948041469455</v>
      </c>
      <c r="P23" s="533" t="s">
        <v>449</v>
      </c>
    </row>
    <row r="24" spans="2:17" x14ac:dyDescent="0.2">
      <c r="B24" s="530" t="s">
        <v>507</v>
      </c>
      <c r="C24" s="442"/>
      <c r="D24" s="441"/>
      <c r="E24" s="440"/>
      <c r="F24" s="440"/>
      <c r="G24" s="416">
        <f>SUM(G13:G21)*0.085*0.333</f>
        <v>110138.31473230119</v>
      </c>
      <c r="H24" s="416">
        <f>SUM(H13:H21)*0.085*0.333</f>
        <v>127476.46262105764</v>
      </c>
      <c r="I24" s="415"/>
      <c r="J24" s="531" t="s">
        <v>449</v>
      </c>
      <c r="K24" s="529"/>
      <c r="L24" s="532" t="s">
        <v>449</v>
      </c>
      <c r="M24" s="519">
        <f>0.0765+0.003</f>
        <v>7.9500000000000001E-2</v>
      </c>
      <c r="N24" s="518">
        <f>G24*M24</f>
        <v>8755.9960212179449</v>
      </c>
      <c r="O24" s="518">
        <f>H24*M24</f>
        <v>10134.378778374083</v>
      </c>
      <c r="P24" s="534" t="s">
        <v>449</v>
      </c>
    </row>
    <row r="25" spans="2:17" ht="12.75" customHeight="1" x14ac:dyDescent="0.2">
      <c r="B25" s="535" t="s">
        <v>447</v>
      </c>
      <c r="C25" s="398"/>
      <c r="D25" s="536">
        <f>SUM(D11:D21)</f>
        <v>404</v>
      </c>
      <c r="E25" s="422" t="s">
        <v>435</v>
      </c>
      <c r="F25" s="391"/>
      <c r="G25" s="537">
        <f>SUM(G11:G24)</f>
        <v>15688854.741551826</v>
      </c>
      <c r="H25" s="537">
        <f>SUM(H11:H24)</f>
        <v>23129779.339352421</v>
      </c>
      <c r="I25" s="412"/>
      <c r="J25" s="538"/>
      <c r="K25" s="539"/>
      <c r="L25" s="540"/>
      <c r="M25" s="540"/>
      <c r="N25" s="424">
        <f>SUM(N11:N24)</f>
        <v>4682491.3653476741</v>
      </c>
      <c r="O25" s="424">
        <f>SUM(O11:O24)</f>
        <v>7008936.4360436797</v>
      </c>
      <c r="P25" s="423">
        <f>SUM(P11:P24)</f>
        <v>5239881.76</v>
      </c>
    </row>
    <row r="26" spans="2:17" ht="12.75" customHeight="1" x14ac:dyDescent="0.2">
      <c r="B26" s="398"/>
      <c r="C26" s="398"/>
      <c r="D26" s="399"/>
      <c r="E26" s="398"/>
      <c r="F26" s="398"/>
      <c r="G26" s="398"/>
      <c r="H26" s="398"/>
      <c r="I26" s="398"/>
      <c r="J26" s="541"/>
    </row>
    <row r="27" spans="2:17" x14ac:dyDescent="0.2">
      <c r="B27" s="422" t="s">
        <v>446</v>
      </c>
      <c r="C27" s="391"/>
      <c r="D27" s="421" t="s">
        <v>435</v>
      </c>
      <c r="E27" s="391"/>
      <c r="F27" s="391"/>
      <c r="G27" s="391"/>
      <c r="H27" s="391"/>
      <c r="I27" s="391"/>
      <c r="J27" s="541"/>
    </row>
    <row r="28" spans="2:17" x14ac:dyDescent="0.2">
      <c r="B28" s="419" t="s">
        <v>508</v>
      </c>
      <c r="C28" s="404" t="s">
        <v>435</v>
      </c>
      <c r="D28" s="418" t="s">
        <v>435</v>
      </c>
      <c r="E28" s="417" t="s">
        <v>435</v>
      </c>
      <c r="F28" s="404"/>
      <c r="G28" s="416">
        <f>N25</f>
        <v>4682491.3653476741</v>
      </c>
      <c r="H28" s="416">
        <f>O25</f>
        <v>7008936.4360436797</v>
      </c>
      <c r="I28" s="415"/>
    </row>
    <row r="29" spans="2:17" x14ac:dyDescent="0.2">
      <c r="B29" s="417" t="s">
        <v>509</v>
      </c>
      <c r="C29" s="417" t="s">
        <v>435</v>
      </c>
      <c r="D29" s="418" t="s">
        <v>435</v>
      </c>
      <c r="E29" s="417" t="s">
        <v>435</v>
      </c>
      <c r="F29" s="404"/>
      <c r="G29" s="416">
        <f>P25</f>
        <v>5239881.76</v>
      </c>
      <c r="H29" s="416">
        <f>P25</f>
        <v>5239881.76</v>
      </c>
      <c r="I29" s="415"/>
    </row>
    <row r="30" spans="2:17" x14ac:dyDescent="0.2">
      <c r="B30" s="542" t="s">
        <v>443</v>
      </c>
      <c r="C30" s="391"/>
      <c r="D30" s="392"/>
      <c r="E30" s="391"/>
      <c r="F30" s="391"/>
      <c r="G30" s="537">
        <f>G28+G29</f>
        <v>9922373.1253476739</v>
      </c>
      <c r="H30" s="537">
        <f>H28+H29</f>
        <v>12248818.196043679</v>
      </c>
      <c r="I30" s="412"/>
    </row>
    <row r="31" spans="2:17" ht="12.75" customHeight="1" x14ac:dyDescent="0.2">
      <c r="B31" s="391"/>
      <c r="C31" s="391"/>
      <c r="D31" s="392"/>
      <c r="E31" s="391"/>
      <c r="F31" s="391"/>
      <c r="G31" s="391"/>
      <c r="H31" s="391"/>
      <c r="I31" s="391"/>
    </row>
    <row r="32" spans="2:17" x14ac:dyDescent="0.2">
      <c r="B32" s="543" t="s">
        <v>510</v>
      </c>
      <c r="C32" s="398"/>
      <c r="D32" s="399"/>
      <c r="E32" s="391"/>
      <c r="F32" s="391"/>
      <c r="G32" s="398"/>
      <c r="H32" s="398"/>
      <c r="I32" s="398"/>
    </row>
    <row r="33" spans="2:16" x14ac:dyDescent="0.2">
      <c r="B33" s="938" t="s">
        <v>511</v>
      </c>
      <c r="C33" s="938"/>
      <c r="D33" s="938"/>
      <c r="E33" s="938"/>
      <c r="F33" s="938"/>
      <c r="G33" s="409">
        <v>1648574.9535211266</v>
      </c>
      <c r="H33" s="409">
        <f>G33</f>
        <v>1648574.9535211266</v>
      </c>
      <c r="I33" s="398"/>
    </row>
    <row r="34" spans="2:16" x14ac:dyDescent="0.2">
      <c r="B34" s="938" t="s">
        <v>512</v>
      </c>
      <c r="C34" s="938"/>
      <c r="D34" s="938"/>
      <c r="E34" s="938"/>
      <c r="F34" s="938"/>
      <c r="G34" s="409">
        <v>1916468.3834683097</v>
      </c>
      <c r="H34" s="409">
        <f>G34</f>
        <v>1916468.3834683097</v>
      </c>
      <c r="I34" s="398"/>
    </row>
    <row r="35" spans="2:16" x14ac:dyDescent="0.2">
      <c r="B35" s="938" t="s">
        <v>513</v>
      </c>
      <c r="C35" s="938"/>
      <c r="D35" s="938"/>
      <c r="E35" s="938"/>
      <c r="F35" s="938"/>
      <c r="G35" s="409">
        <f>364*1375</f>
        <v>500500</v>
      </c>
      <c r="H35" s="409">
        <f>G35</f>
        <v>500500</v>
      </c>
      <c r="I35" s="398"/>
    </row>
    <row r="36" spans="2:16" x14ac:dyDescent="0.2">
      <c r="B36" s="938" t="s">
        <v>514</v>
      </c>
      <c r="C36" s="938"/>
      <c r="D36" s="938"/>
      <c r="E36" s="938"/>
      <c r="F36" s="938"/>
      <c r="G36" s="408">
        <v>876834</v>
      </c>
      <c r="H36" s="408">
        <f>G36</f>
        <v>876834</v>
      </c>
      <c r="I36" s="398"/>
    </row>
    <row r="37" spans="2:16" x14ac:dyDescent="0.2">
      <c r="B37" s="535" t="s">
        <v>441</v>
      </c>
      <c r="C37" s="398"/>
      <c r="D37" s="392"/>
      <c r="E37" s="391"/>
      <c r="F37" s="391"/>
      <c r="G37" s="402">
        <f>SUM(G33:G36)</f>
        <v>4942377.3369894363</v>
      </c>
      <c r="H37" s="402">
        <f>SUM(H33:H36)</f>
        <v>4942377.3369894363</v>
      </c>
      <c r="I37" s="401"/>
    </row>
    <row r="38" spans="2:16" x14ac:dyDescent="0.2">
      <c r="B38" s="391"/>
      <c r="C38" s="398"/>
      <c r="D38" s="392"/>
      <c r="E38" s="391"/>
      <c r="F38" s="391"/>
      <c r="G38" s="391"/>
      <c r="H38" s="391"/>
      <c r="I38" s="391"/>
    </row>
    <row r="39" spans="2:16" x14ac:dyDescent="0.2">
      <c r="B39" s="400" t="s">
        <v>440</v>
      </c>
      <c r="C39" s="391"/>
      <c r="D39" s="392"/>
      <c r="E39" s="391"/>
      <c r="F39" s="391"/>
      <c r="G39" s="402">
        <f>G25+G30+G37</f>
        <v>30553605.203888934</v>
      </c>
      <c r="H39" s="402">
        <f>H25+H30+H37</f>
        <v>40320974.872385532</v>
      </c>
      <c r="I39" s="401"/>
    </row>
    <row r="40" spans="2:16" x14ac:dyDescent="0.2">
      <c r="B40" s="391"/>
      <c r="C40" s="391"/>
      <c r="D40" s="392"/>
      <c r="E40" s="391"/>
      <c r="F40" s="391"/>
      <c r="G40" s="391"/>
      <c r="H40" s="391"/>
      <c r="I40" s="391"/>
    </row>
    <row r="41" spans="2:16" x14ac:dyDescent="0.2">
      <c r="B41" s="400" t="s">
        <v>515</v>
      </c>
      <c r="C41" s="398"/>
      <c r="D41" s="399"/>
      <c r="E41" s="398"/>
      <c r="F41" s="398"/>
      <c r="G41" s="544">
        <f>-SUM('[12]Contract Cost Detail'!F5,'[12]Contract Cost Detail'!P10:P11,'[12]Contract Cost Detail'!P15:P16)</f>
        <v>-20709088.577607352</v>
      </c>
      <c r="H41" s="545">
        <f>-SUM('[12]Contract Cost Detail'!G5,'[12]Contract Cost Detail'!Q10:Q11,'[12]Contract Cost Detail'!Q15:Q16)</f>
        <v>-20716375.256568339</v>
      </c>
      <c r="I41" s="396"/>
    </row>
    <row r="42" spans="2:16" x14ac:dyDescent="0.2">
      <c r="B42" s="391"/>
      <c r="C42" s="391"/>
      <c r="D42" s="392"/>
      <c r="E42" s="391"/>
      <c r="F42" s="391"/>
      <c r="G42" s="395"/>
      <c r="H42" s="395"/>
      <c r="I42" s="394"/>
    </row>
    <row r="43" spans="2:16" ht="13.5" thickBot="1" x14ac:dyDescent="0.25">
      <c r="B43" s="393" t="s">
        <v>438</v>
      </c>
      <c r="C43" s="391"/>
      <c r="D43" s="392"/>
      <c r="E43" s="391"/>
      <c r="F43" s="391"/>
      <c r="G43" s="390">
        <f>G39+G41</f>
        <v>9844516.6262815818</v>
      </c>
      <c r="H43" s="390">
        <f>H39+H41</f>
        <v>19604599.615817193</v>
      </c>
      <c r="I43" s="389"/>
    </row>
    <row r="44" spans="2:16" ht="13.5" thickTop="1" x14ac:dyDescent="0.2">
      <c r="B44" s="388" t="s">
        <v>437</v>
      </c>
      <c r="G44" s="387">
        <f>G43/G39</f>
        <v>0.32220474672588062</v>
      </c>
      <c r="H44" s="387">
        <f>H43/H39</f>
        <v>0.48621343302995679</v>
      </c>
      <c r="I44" s="386"/>
    </row>
    <row r="45" spans="2:16" x14ac:dyDescent="0.2">
      <c r="G45" s="546"/>
      <c r="H45" s="546"/>
      <c r="I45" s="546"/>
    </row>
    <row r="46" spans="2:16" x14ac:dyDescent="0.2">
      <c r="B46" s="547" t="s">
        <v>436</v>
      </c>
      <c r="D46" s="548" t="s">
        <v>435</v>
      </c>
    </row>
    <row r="47" spans="2:16" x14ac:dyDescent="0.2">
      <c r="B47" s="974" t="s">
        <v>516</v>
      </c>
      <c r="C47" s="974"/>
      <c r="D47" s="974"/>
      <c r="E47" s="974"/>
      <c r="F47" s="974"/>
      <c r="G47" s="974"/>
      <c r="H47" s="974"/>
      <c r="I47" s="589"/>
      <c r="J47" s="589"/>
      <c r="K47" s="589"/>
      <c r="L47" s="589"/>
      <c r="M47" s="589"/>
      <c r="N47" s="589"/>
      <c r="O47" s="589"/>
      <c r="P47" s="589"/>
    </row>
    <row r="48" spans="2:16" ht="27" customHeight="1" x14ac:dyDescent="0.2">
      <c r="B48" s="940" t="s">
        <v>562</v>
      </c>
      <c r="C48" s="941"/>
      <c r="D48" s="941"/>
      <c r="E48" s="941"/>
      <c r="F48" s="941"/>
      <c r="G48" s="941"/>
      <c r="H48" s="941"/>
      <c r="I48" s="589"/>
      <c r="J48" s="589"/>
      <c r="K48" s="589"/>
      <c r="L48" s="589"/>
      <c r="M48" s="589"/>
      <c r="N48" s="589"/>
      <c r="O48" s="589"/>
      <c r="P48" s="589"/>
    </row>
    <row r="49" spans="2:16" ht="27" customHeight="1" x14ac:dyDescent="0.2">
      <c r="B49" s="936" t="s">
        <v>433</v>
      </c>
      <c r="C49" s="936"/>
      <c r="D49" s="936"/>
      <c r="E49" s="936"/>
      <c r="F49" s="936"/>
      <c r="G49" s="936"/>
      <c r="H49" s="936"/>
      <c r="I49" s="589"/>
      <c r="J49" s="589"/>
      <c r="K49" s="589"/>
      <c r="L49" s="589"/>
      <c r="M49" s="589"/>
      <c r="N49" s="589"/>
      <c r="O49" s="589"/>
      <c r="P49" s="589"/>
    </row>
    <row r="50" spans="2:16" x14ac:dyDescent="0.2">
      <c r="B50" s="506" t="s">
        <v>432</v>
      </c>
      <c r="C50" s="589"/>
      <c r="D50" s="589"/>
      <c r="E50" s="589"/>
      <c r="F50" s="589"/>
      <c r="G50" s="589"/>
      <c r="H50" s="589"/>
      <c r="I50" s="589"/>
      <c r="J50" s="589"/>
      <c r="K50" s="589"/>
      <c r="L50" s="589"/>
      <c r="M50" s="589"/>
      <c r="N50" s="589"/>
      <c r="O50" s="589"/>
      <c r="P50" s="589"/>
    </row>
    <row r="51" spans="2:16" ht="27.75" customHeight="1" x14ac:dyDescent="0.2">
      <c r="B51" s="974" t="s">
        <v>517</v>
      </c>
      <c r="C51" s="974"/>
      <c r="D51" s="974"/>
      <c r="E51" s="974"/>
      <c r="F51" s="974"/>
      <c r="G51" s="974"/>
      <c r="H51" s="974"/>
      <c r="I51" s="589"/>
      <c r="J51" s="589"/>
      <c r="K51" s="589"/>
      <c r="L51" s="589"/>
      <c r="M51" s="589"/>
      <c r="N51" s="589"/>
      <c r="O51" s="589"/>
      <c r="P51" s="589"/>
    </row>
    <row r="52" spans="2:16" x14ac:dyDescent="0.2">
      <c r="B52" s="590" t="s">
        <v>518</v>
      </c>
      <c r="C52" s="590"/>
      <c r="D52" s="590"/>
      <c r="E52" s="590"/>
      <c r="F52" s="590"/>
      <c r="G52" s="590"/>
      <c r="H52" s="590"/>
    </row>
    <row r="53" spans="2:16" ht="27" customHeight="1" x14ac:dyDescent="0.2">
      <c r="B53" s="975" t="s">
        <v>519</v>
      </c>
      <c r="C53" s="975"/>
      <c r="D53" s="975"/>
      <c r="E53" s="975"/>
      <c r="F53" s="975"/>
      <c r="G53" s="975"/>
      <c r="H53" s="975"/>
    </row>
    <row r="54" spans="2:16" x14ac:dyDescent="0.2">
      <c r="B54" s="549"/>
    </row>
  </sheetData>
  <mergeCells count="9">
    <mergeCell ref="B49:H49"/>
    <mergeCell ref="B51:H51"/>
    <mergeCell ref="B53:H53"/>
    <mergeCell ref="B33:F33"/>
    <mergeCell ref="B34:F34"/>
    <mergeCell ref="B35:F35"/>
    <mergeCell ref="B36:F36"/>
    <mergeCell ref="B47:H47"/>
    <mergeCell ref="B48:H48"/>
  </mergeCells>
  <dataValidations count="1">
    <dataValidation type="list" allowBlank="1" showInputMessage="1" showErrorMessage="1" error="Please enter either an S or a C." sqref="J11:J21">
      <formula1>$Q$11:$Q$12</formula1>
    </dataValidation>
  </dataValidations>
  <pageMargins left="0.33" right="0.26" top="0.51" bottom="0.56000000000000005" header="0.35" footer="0.35"/>
  <headerFooter alignWithMargins="0">
    <oddFooter>&amp;R&amp;Z&amp;F,  &amp;A</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zoomScale="80" zoomScaleNormal="80" zoomScaleSheetLayoutView="50" workbookViewId="0">
      <selection activeCell="P12" sqref="P12"/>
    </sheetView>
  </sheetViews>
  <sheetFormatPr defaultRowHeight="14.25" x14ac:dyDescent="0.2"/>
  <cols>
    <col min="1" max="1" width="6.7109375" style="3" customWidth="1"/>
    <col min="2" max="2" width="10" style="3" customWidth="1"/>
    <col min="3" max="3" width="9.7109375" style="3" customWidth="1"/>
    <col min="4" max="4" width="14.28515625" style="3" customWidth="1"/>
    <col min="5" max="6" width="6.28515625" style="3" customWidth="1"/>
    <col min="7" max="7" width="7.42578125" style="3" bestFit="1" customWidth="1"/>
    <col min="8" max="8" width="47.42578125" style="3" bestFit="1" customWidth="1"/>
    <col min="9" max="9" width="12.140625" style="3" customWidth="1"/>
    <col min="10" max="10" width="12.5703125" style="3" customWidth="1"/>
    <col min="11" max="12" width="12.7109375" style="3" customWidth="1"/>
    <col min="13" max="13" width="11.7109375" style="3" customWidth="1"/>
    <col min="14" max="14" width="12.85546875" style="3" customWidth="1"/>
    <col min="15" max="15" width="12.140625" style="3" customWidth="1"/>
    <col min="16" max="16" width="24.85546875" style="3" customWidth="1"/>
    <col min="17" max="16384" width="9.140625" style="3"/>
  </cols>
  <sheetData>
    <row r="1" spans="1:16" s="204" customFormat="1" ht="23.25" customHeight="1" x14ac:dyDescent="0.25">
      <c r="A1" s="203" t="s">
        <v>121</v>
      </c>
    </row>
    <row r="2" spans="1:16" s="204" customFormat="1" ht="18" x14ac:dyDescent="0.25">
      <c r="A2" s="205" t="s">
        <v>1</v>
      </c>
      <c r="B2" s="206"/>
      <c r="C2" s="207"/>
    </row>
    <row r="3" spans="1:16" s="204" customFormat="1" ht="23.25" customHeight="1" x14ac:dyDescent="0.25">
      <c r="A3" s="835"/>
      <c r="B3" s="835"/>
      <c r="C3" s="207"/>
    </row>
    <row r="4" spans="1:16" s="204" customFormat="1" ht="15" x14ac:dyDescent="0.25">
      <c r="A4" s="208" t="s">
        <v>122</v>
      </c>
      <c r="B4" s="208"/>
      <c r="C4" s="207"/>
    </row>
    <row r="5" spans="1:16" ht="15" x14ac:dyDescent="0.25">
      <c r="A5" s="209" t="s">
        <v>123</v>
      </c>
      <c r="C5" s="210"/>
      <c r="D5" s="210"/>
    </row>
    <row r="6" spans="1:16" x14ac:dyDescent="0.2">
      <c r="A6" s="211" t="s">
        <v>124</v>
      </c>
      <c r="C6" s="210"/>
      <c r="D6" s="210"/>
    </row>
    <row r="7" spans="1:16" x14ac:dyDescent="0.2">
      <c r="A7" s="211" t="s">
        <v>28</v>
      </c>
      <c r="C7" s="210"/>
      <c r="D7" s="210"/>
    </row>
    <row r="8" spans="1:16" x14ac:dyDescent="0.2">
      <c r="A8" s="211" t="s">
        <v>29</v>
      </c>
      <c r="B8" s="212"/>
      <c r="C8" s="212"/>
      <c r="I8" s="212"/>
    </row>
    <row r="9" spans="1:16" ht="15" thickBot="1" x14ac:dyDescent="0.25"/>
    <row r="10" spans="1:16" s="218" customFormat="1" ht="15" x14ac:dyDescent="0.25">
      <c r="A10" s="213" t="s">
        <v>125</v>
      </c>
      <c r="B10" s="214"/>
      <c r="C10" s="215"/>
      <c r="D10" s="215"/>
      <c r="E10" s="215"/>
      <c r="F10" s="215"/>
      <c r="G10" s="215"/>
      <c r="H10" s="215"/>
      <c r="I10" s="216"/>
      <c r="J10" s="215"/>
      <c r="K10" s="216" t="s">
        <v>31</v>
      </c>
      <c r="L10" s="215"/>
      <c r="M10" s="216" t="s">
        <v>31</v>
      </c>
      <c r="N10" s="216"/>
      <c r="O10" s="216" t="s">
        <v>31</v>
      </c>
      <c r="P10" s="217" t="s">
        <v>31</v>
      </c>
    </row>
    <row r="11" spans="1:16" s="222" customFormat="1" ht="61.5" customHeight="1" thickBot="1" x14ac:dyDescent="0.25">
      <c r="A11" s="219" t="s">
        <v>32</v>
      </c>
      <c r="B11" s="220" t="s">
        <v>33</v>
      </c>
      <c r="C11" s="220" t="s">
        <v>34</v>
      </c>
      <c r="D11" s="220" t="s">
        <v>5</v>
      </c>
      <c r="E11" s="220" t="s">
        <v>35</v>
      </c>
      <c r="F11" s="220" t="s">
        <v>126</v>
      </c>
      <c r="G11" s="220" t="s">
        <v>127</v>
      </c>
      <c r="H11" s="220" t="s">
        <v>48</v>
      </c>
      <c r="I11" s="220" t="s">
        <v>156</v>
      </c>
      <c r="J11" s="220" t="s">
        <v>38</v>
      </c>
      <c r="K11" s="220" t="s">
        <v>157</v>
      </c>
      <c r="L11" s="220" t="s">
        <v>40</v>
      </c>
      <c r="M11" s="220" t="s">
        <v>128</v>
      </c>
      <c r="N11" s="220" t="s">
        <v>43</v>
      </c>
      <c r="O11" s="220" t="s">
        <v>158</v>
      </c>
      <c r="P11" s="221" t="s">
        <v>129</v>
      </c>
    </row>
    <row r="12" spans="1:16" s="218" customFormat="1" ht="42.75" x14ac:dyDescent="0.2">
      <c r="A12" s="223" t="s">
        <v>32</v>
      </c>
      <c r="B12" s="224" t="s">
        <v>664</v>
      </c>
      <c r="C12" s="224" t="s">
        <v>665</v>
      </c>
      <c r="D12" s="224" t="s">
        <v>666</v>
      </c>
      <c r="E12" s="224">
        <v>600</v>
      </c>
      <c r="F12" s="224">
        <v>601</v>
      </c>
      <c r="G12" s="224">
        <v>60136</v>
      </c>
      <c r="H12" s="224" t="s">
        <v>667</v>
      </c>
      <c r="I12" s="712">
        <v>127530</v>
      </c>
      <c r="J12" s="713">
        <v>20500</v>
      </c>
      <c r="K12" s="713">
        <v>29870</v>
      </c>
      <c r="L12" s="796">
        <v>89918</v>
      </c>
      <c r="M12" s="713">
        <f>L12-J12</f>
        <v>69418</v>
      </c>
      <c r="N12" s="798">
        <v>49603</v>
      </c>
      <c r="O12" s="228">
        <f>N12-L12</f>
        <v>-40315</v>
      </c>
      <c r="P12" s="801" t="s">
        <v>840</v>
      </c>
    </row>
    <row r="13" spans="1:16" s="218" customFormat="1" ht="42.75" x14ac:dyDescent="0.2">
      <c r="A13" s="225" t="s">
        <v>32</v>
      </c>
      <c r="B13" s="226" t="s">
        <v>664</v>
      </c>
      <c r="C13" s="226" t="s">
        <v>665</v>
      </c>
      <c r="D13" s="226" t="s">
        <v>666</v>
      </c>
      <c r="E13" s="226">
        <v>600</v>
      </c>
      <c r="F13" s="226">
        <v>601</v>
      </c>
      <c r="G13" s="226">
        <v>60149</v>
      </c>
      <c r="H13" s="226" t="s">
        <v>668</v>
      </c>
      <c r="I13" s="712">
        <v>62769</v>
      </c>
      <c r="J13" s="712">
        <v>60000</v>
      </c>
      <c r="K13" s="712">
        <v>53118</v>
      </c>
      <c r="L13" s="797">
        <v>95000</v>
      </c>
      <c r="M13" s="713">
        <f t="shared" ref="M13:M14" si="0">L13-J13</f>
        <v>35000</v>
      </c>
      <c r="N13" s="799">
        <v>45000</v>
      </c>
      <c r="O13" s="228">
        <f>N13-L13</f>
        <v>-50000</v>
      </c>
      <c r="P13" s="801" t="s">
        <v>841</v>
      </c>
    </row>
    <row r="14" spans="1:16" s="218" customFormat="1" ht="42.75" x14ac:dyDescent="0.2">
      <c r="A14" s="225" t="s">
        <v>32</v>
      </c>
      <c r="B14" s="226" t="s">
        <v>664</v>
      </c>
      <c r="C14" s="226" t="s">
        <v>665</v>
      </c>
      <c r="D14" s="226" t="s">
        <v>666</v>
      </c>
      <c r="E14" s="226">
        <v>600</v>
      </c>
      <c r="F14" s="226">
        <v>601</v>
      </c>
      <c r="G14" s="226">
        <v>60199</v>
      </c>
      <c r="H14" s="226" t="s">
        <v>669</v>
      </c>
      <c r="I14" s="712">
        <v>8441</v>
      </c>
      <c r="J14" s="712">
        <v>2064</v>
      </c>
      <c r="K14" s="712">
        <v>2380</v>
      </c>
      <c r="L14" s="797">
        <v>3475</v>
      </c>
      <c r="M14" s="713">
        <f t="shared" si="0"/>
        <v>1411</v>
      </c>
      <c r="N14" s="799">
        <v>3600</v>
      </c>
      <c r="O14" s="228">
        <f>N14-L14</f>
        <v>125</v>
      </c>
      <c r="P14" s="801" t="s">
        <v>842</v>
      </c>
    </row>
    <row r="15" spans="1:16" s="218" customFormat="1" ht="31.5" customHeight="1" x14ac:dyDescent="0.2">
      <c r="A15" s="225"/>
      <c r="B15" s="226"/>
      <c r="C15" s="226"/>
      <c r="D15" s="226"/>
      <c r="E15" s="226"/>
      <c r="F15" s="226"/>
      <c r="G15" s="226"/>
      <c r="H15" s="226"/>
      <c r="I15" s="226"/>
      <c r="J15" s="227"/>
      <c r="K15" s="227"/>
      <c r="L15" s="227"/>
      <c r="M15" s="227"/>
      <c r="N15" s="228"/>
      <c r="O15" s="228"/>
      <c r="P15" s="229"/>
    </row>
    <row r="16" spans="1:16" s="218" customFormat="1" ht="31.5" customHeight="1" x14ac:dyDescent="0.2">
      <c r="A16" s="225"/>
      <c r="B16" s="226"/>
      <c r="C16" s="226"/>
      <c r="D16" s="226"/>
      <c r="E16" s="226"/>
      <c r="F16" s="226"/>
      <c r="G16" s="226"/>
      <c r="H16" s="226"/>
      <c r="I16" s="226"/>
      <c r="J16" s="227"/>
      <c r="K16" s="227"/>
      <c r="L16" s="227"/>
      <c r="M16" s="227"/>
      <c r="N16" s="228"/>
      <c r="O16" s="228"/>
      <c r="P16" s="229"/>
    </row>
    <row r="17" spans="1:16" s="218" customFormat="1" ht="31.5" customHeight="1" x14ac:dyDescent="0.2">
      <c r="A17" s="225"/>
      <c r="B17" s="226"/>
      <c r="C17" s="226"/>
      <c r="D17" s="226"/>
      <c r="E17" s="226"/>
      <c r="F17" s="226"/>
      <c r="G17" s="226"/>
      <c r="H17" s="226"/>
      <c r="I17" s="226"/>
      <c r="J17" s="227"/>
      <c r="K17" s="227"/>
      <c r="L17" s="227"/>
      <c r="M17" s="227"/>
      <c r="N17" s="228"/>
      <c r="O17" s="228"/>
      <c r="P17" s="229"/>
    </row>
    <row r="18" spans="1:16" s="218" customFormat="1" ht="31.5" customHeight="1" x14ac:dyDescent="0.2">
      <c r="A18" s="225"/>
      <c r="B18" s="226"/>
      <c r="C18" s="226"/>
      <c r="D18" s="226"/>
      <c r="E18" s="226"/>
      <c r="F18" s="226"/>
      <c r="G18" s="226"/>
      <c r="H18" s="226"/>
      <c r="I18" s="226"/>
      <c r="J18" s="227"/>
      <c r="K18" s="227"/>
      <c r="L18" s="227"/>
      <c r="M18" s="227"/>
      <c r="N18" s="228"/>
      <c r="O18" s="228"/>
      <c r="P18" s="229"/>
    </row>
    <row r="19" spans="1:16" s="218" customFormat="1" ht="31.5" customHeight="1" x14ac:dyDescent="0.2">
      <c r="A19" s="225"/>
      <c r="B19" s="226"/>
      <c r="C19" s="226"/>
      <c r="D19" s="226"/>
      <c r="E19" s="226"/>
      <c r="F19" s="226"/>
      <c r="G19" s="226"/>
      <c r="H19" s="226"/>
      <c r="I19" s="226"/>
      <c r="J19" s="227"/>
      <c r="K19" s="227"/>
      <c r="L19" s="227"/>
      <c r="M19" s="227"/>
      <c r="N19" s="228"/>
      <c r="O19" s="228"/>
      <c r="P19" s="229"/>
    </row>
    <row r="20" spans="1:16" s="218" customFormat="1" ht="31.5" customHeight="1" x14ac:dyDescent="0.2">
      <c r="A20" s="225"/>
      <c r="B20" s="226"/>
      <c r="C20" s="226"/>
      <c r="D20" s="226"/>
      <c r="E20" s="226"/>
      <c r="F20" s="226"/>
      <c r="G20" s="226"/>
      <c r="H20" s="226"/>
      <c r="I20" s="226"/>
      <c r="J20" s="227"/>
      <c r="K20" s="227"/>
      <c r="L20" s="227"/>
      <c r="M20" s="227"/>
      <c r="N20" s="228"/>
      <c r="O20" s="228"/>
      <c r="P20" s="229"/>
    </row>
    <row r="21" spans="1:16" s="218" customFormat="1" ht="31.5" customHeight="1" x14ac:dyDescent="0.2">
      <c r="A21" s="225"/>
      <c r="B21" s="226"/>
      <c r="C21" s="226"/>
      <c r="D21" s="226"/>
      <c r="E21" s="226"/>
      <c r="F21" s="226"/>
      <c r="G21" s="226"/>
      <c r="H21" s="226"/>
      <c r="I21" s="226"/>
      <c r="J21" s="227"/>
      <c r="K21" s="227"/>
      <c r="L21" s="227"/>
      <c r="M21" s="227"/>
      <c r="N21" s="228"/>
      <c r="O21" s="228"/>
      <c r="P21" s="229"/>
    </row>
    <row r="22" spans="1:16" s="218" customFormat="1" ht="31.5" customHeight="1" x14ac:dyDescent="0.2">
      <c r="A22" s="225"/>
      <c r="B22" s="226"/>
      <c r="C22" s="226"/>
      <c r="D22" s="226"/>
      <c r="E22" s="226"/>
      <c r="F22" s="226"/>
      <c r="G22" s="226"/>
      <c r="H22" s="226"/>
      <c r="I22" s="226"/>
      <c r="J22" s="227"/>
      <c r="K22" s="227"/>
      <c r="L22" s="227"/>
      <c r="M22" s="227"/>
      <c r="N22" s="228"/>
      <c r="O22" s="228"/>
      <c r="P22" s="229"/>
    </row>
    <row r="23" spans="1:16" s="218" customFormat="1" ht="31.5" customHeight="1" thickBot="1" x14ac:dyDescent="0.25">
      <c r="A23" s="230"/>
      <c r="B23" s="231"/>
      <c r="C23" s="231"/>
      <c r="D23" s="231"/>
      <c r="E23" s="231"/>
      <c r="F23" s="231"/>
      <c r="G23" s="231"/>
      <c r="H23" s="231"/>
      <c r="I23" s="231"/>
      <c r="J23" s="232"/>
      <c r="K23" s="232"/>
      <c r="L23" s="232"/>
      <c r="M23" s="232"/>
      <c r="N23" s="233"/>
      <c r="O23" s="233"/>
      <c r="P23" s="234"/>
    </row>
  </sheetData>
  <mergeCells count="1">
    <mergeCell ref="A3:B3"/>
  </mergeCells>
  <printOptions horizontalCentered="1"/>
  <pageMargins left="0.16" right="0.16" top="1" bottom="1" header="0.5" footer="0.5"/>
  <pageSetup paperSize="5" scale="73"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51"/>
  <sheetViews>
    <sheetView zoomScale="80" zoomScaleNormal="80" zoomScalePageLayoutView="80" workbookViewId="0">
      <selection activeCell="A64" sqref="A64:XFD64"/>
    </sheetView>
  </sheetViews>
  <sheetFormatPr defaultColWidth="7.85546875" defaultRowHeight="14.25" x14ac:dyDescent="0.2"/>
  <cols>
    <col min="1" max="2" width="5.140625" style="3" customWidth="1"/>
    <col min="3" max="3" width="7.85546875" style="3"/>
    <col min="4" max="4" width="58.42578125" style="3" customWidth="1"/>
    <col min="5" max="5" width="14.42578125" style="3" customWidth="1"/>
    <col min="6" max="6" width="10.5703125" style="3" customWidth="1"/>
    <col min="7" max="7" width="7.42578125" style="3" customWidth="1"/>
    <col min="8" max="8" width="9.28515625" style="3" customWidth="1"/>
    <col min="9" max="9" width="15.140625" style="3" customWidth="1"/>
    <col min="10" max="10" width="12.140625" style="3" customWidth="1"/>
    <col min="11" max="11" width="13.5703125" style="3" customWidth="1"/>
    <col min="12" max="12" width="12.42578125" style="3" customWidth="1"/>
    <col min="13" max="13" width="11" style="3" customWidth="1"/>
    <col min="14" max="14" width="13.42578125" style="3" customWidth="1"/>
    <col min="15" max="15" width="11" style="3" customWidth="1"/>
    <col min="16" max="16" width="13.7109375" style="3" bestFit="1" customWidth="1"/>
    <col min="17" max="17" width="12.7109375" style="3" customWidth="1"/>
    <col min="18" max="18" width="14.7109375" style="3" customWidth="1"/>
    <col min="19" max="19" width="11.28515625" style="3" customWidth="1"/>
    <col min="20" max="20" width="14" style="3" bestFit="1" customWidth="1"/>
    <col min="21" max="22" width="11.28515625" style="3" customWidth="1"/>
    <col min="23" max="23" width="12.28515625" style="3" customWidth="1"/>
    <col min="24" max="24" width="11.28515625" style="3" customWidth="1"/>
    <col min="25" max="25" width="4.7109375" style="3" customWidth="1"/>
    <col min="26" max="26" width="10" style="3" customWidth="1"/>
    <col min="27" max="16384" width="7.85546875" style="3"/>
  </cols>
  <sheetData>
    <row r="2" spans="2:24" ht="27.75" customHeight="1" thickBot="1" x14ac:dyDescent="0.35">
      <c r="B2" s="235" t="s">
        <v>130</v>
      </c>
    </row>
    <row r="3" spans="2:24" ht="29.25" thickBot="1" x14ac:dyDescent="0.35">
      <c r="B3" s="236" t="s">
        <v>131</v>
      </c>
      <c r="Q3" s="237" t="s">
        <v>132</v>
      </c>
    </row>
    <row r="4" spans="2:24" ht="18.75" customHeight="1" thickBot="1" x14ac:dyDescent="0.3">
      <c r="B4" s="238" t="s">
        <v>549</v>
      </c>
      <c r="C4" s="239"/>
      <c r="D4" s="240"/>
      <c r="E4" s="240"/>
      <c r="F4" s="240"/>
      <c r="G4" s="240"/>
      <c r="H4" s="586"/>
      <c r="I4" s="584"/>
      <c r="Q4" s="241" t="s">
        <v>133</v>
      </c>
    </row>
    <row r="5" spans="2:24" ht="18.75" customHeight="1" thickBot="1" x14ac:dyDescent="0.3">
      <c r="B5" s="581" t="s">
        <v>550</v>
      </c>
      <c r="C5" s="582"/>
      <c r="D5" s="583"/>
      <c r="E5" s="583"/>
      <c r="F5" s="583"/>
      <c r="G5" s="583"/>
      <c r="H5" s="587"/>
      <c r="I5" s="585"/>
      <c r="Q5" s="243" t="s">
        <v>134</v>
      </c>
    </row>
    <row r="6" spans="2:24" ht="18.75" customHeight="1" x14ac:dyDescent="0.25">
      <c r="B6" s="836" t="s">
        <v>551</v>
      </c>
      <c r="C6" s="836"/>
      <c r="D6" s="836"/>
      <c r="E6" s="836"/>
      <c r="F6" s="836"/>
      <c r="G6" s="836"/>
      <c r="H6" s="836"/>
      <c r="I6" s="836"/>
      <c r="J6" s="836"/>
      <c r="K6" s="836"/>
      <c r="L6" s="242"/>
      <c r="R6" s="244"/>
      <c r="S6" s="244"/>
      <c r="T6" s="204"/>
    </row>
    <row r="7" spans="2:24" ht="11.25" customHeight="1" thickBot="1" x14ac:dyDescent="0.25">
      <c r="B7" s="212"/>
      <c r="C7" s="212"/>
      <c r="D7" s="212"/>
      <c r="E7" s="212"/>
      <c r="F7" s="212"/>
      <c r="G7" s="212"/>
      <c r="H7" s="212"/>
      <c r="I7" s="212"/>
      <c r="J7" s="212"/>
      <c r="K7" s="212"/>
      <c r="L7" s="212"/>
      <c r="M7" s="212"/>
      <c r="N7" s="212"/>
      <c r="O7" s="212"/>
      <c r="P7" s="212"/>
      <c r="Q7" s="212"/>
      <c r="R7" s="212"/>
      <c r="S7" s="212"/>
      <c r="T7" s="212"/>
      <c r="U7" s="212"/>
      <c r="V7" s="212"/>
      <c r="W7" s="212"/>
      <c r="X7" s="212"/>
    </row>
    <row r="8" spans="2:24" s="5" customFormat="1" ht="59.25" customHeight="1" thickBot="1" x14ac:dyDescent="0.25">
      <c r="B8" s="245" t="s">
        <v>135</v>
      </c>
      <c r="C8" s="246" t="s">
        <v>136</v>
      </c>
      <c r="D8" s="246" t="s">
        <v>137</v>
      </c>
      <c r="E8" s="246" t="s">
        <v>138</v>
      </c>
      <c r="F8" s="246" t="s">
        <v>139</v>
      </c>
      <c r="G8" s="246" t="s">
        <v>140</v>
      </c>
      <c r="H8" s="246" t="s">
        <v>141</v>
      </c>
      <c r="I8" s="246" t="s">
        <v>144</v>
      </c>
      <c r="J8" s="246" t="s">
        <v>552</v>
      </c>
      <c r="K8" s="246" t="s">
        <v>142</v>
      </c>
      <c r="L8" s="246" t="s">
        <v>553</v>
      </c>
      <c r="M8" s="246" t="s">
        <v>143</v>
      </c>
      <c r="N8" s="246" t="s">
        <v>145</v>
      </c>
      <c r="O8" s="246" t="s">
        <v>146</v>
      </c>
      <c r="P8" s="246" t="s">
        <v>147</v>
      </c>
      <c r="Q8" s="246" t="s">
        <v>148</v>
      </c>
      <c r="R8" s="246" t="s">
        <v>554</v>
      </c>
      <c r="S8" s="246" t="s">
        <v>555</v>
      </c>
      <c r="T8" s="246" t="s">
        <v>556</v>
      </c>
      <c r="U8" s="246" t="s">
        <v>557</v>
      </c>
      <c r="V8" s="246" t="s">
        <v>149</v>
      </c>
      <c r="W8" s="247" t="s">
        <v>150</v>
      </c>
    </row>
    <row r="9" spans="2:24" ht="17.25" customHeight="1" x14ac:dyDescent="0.2">
      <c r="B9" s="248">
        <v>1</v>
      </c>
      <c r="C9" s="714" t="s">
        <v>455</v>
      </c>
      <c r="D9" s="250" t="s">
        <v>627</v>
      </c>
      <c r="E9" s="20"/>
      <c r="F9" s="20" t="s">
        <v>655</v>
      </c>
      <c r="G9" s="249">
        <v>60136</v>
      </c>
      <c r="H9" s="20">
        <v>805001</v>
      </c>
      <c r="I9" s="815" t="s">
        <v>656</v>
      </c>
      <c r="J9" s="251">
        <v>500</v>
      </c>
      <c r="K9" s="252">
        <v>12</v>
      </c>
      <c r="L9" s="251">
        <v>6000</v>
      </c>
      <c r="M9" s="253"/>
      <c r="N9" s="251">
        <f t="shared" ref="N9:N43" si="0">IF(F9="Yes", J9*(1+$I$4), J9)</f>
        <v>500</v>
      </c>
      <c r="O9" s="254"/>
      <c r="P9" s="251">
        <v>0</v>
      </c>
      <c r="Q9" s="255"/>
      <c r="R9" s="251">
        <f>IF(F9="Yes", N9*(1+I5), N9)</f>
        <v>500</v>
      </c>
      <c r="S9" s="254">
        <v>7</v>
      </c>
      <c r="T9" s="251">
        <v>3500</v>
      </c>
      <c r="U9" s="255"/>
      <c r="V9" s="20"/>
      <c r="W9" s="256">
        <v>0</v>
      </c>
    </row>
    <row r="10" spans="2:24" ht="17.25" customHeight="1" x14ac:dyDescent="0.2">
      <c r="B10" s="248">
        <v>2</v>
      </c>
      <c r="C10" s="714" t="s">
        <v>455</v>
      </c>
      <c r="D10" s="250" t="s">
        <v>628</v>
      </c>
      <c r="E10" s="20"/>
      <c r="F10" s="20" t="s">
        <v>655</v>
      </c>
      <c r="G10" s="20">
        <v>60136</v>
      </c>
      <c r="H10" s="20">
        <v>805001</v>
      </c>
      <c r="I10" s="815" t="s">
        <v>656</v>
      </c>
      <c r="J10" s="251">
        <v>500</v>
      </c>
      <c r="K10" s="20">
        <v>7</v>
      </c>
      <c r="L10" s="251">
        <v>3500</v>
      </c>
      <c r="M10" s="253"/>
      <c r="N10" s="251">
        <f t="shared" si="0"/>
        <v>500</v>
      </c>
      <c r="O10" s="20"/>
      <c r="P10" s="251">
        <v>0</v>
      </c>
      <c r="Q10" s="257"/>
      <c r="R10" s="251">
        <f>IF(F10="Yes", N10*(1+#REF!), N10)</f>
        <v>500</v>
      </c>
      <c r="S10" s="20">
        <v>6</v>
      </c>
      <c r="T10" s="251">
        <v>3000</v>
      </c>
      <c r="U10" s="257"/>
      <c r="V10" s="20"/>
      <c r="W10" s="256">
        <v>0</v>
      </c>
    </row>
    <row r="11" spans="2:24" ht="17.25" customHeight="1" x14ac:dyDescent="0.2">
      <c r="B11" s="248">
        <v>3</v>
      </c>
      <c r="C11" s="714" t="s">
        <v>455</v>
      </c>
      <c r="D11" s="250" t="s">
        <v>629</v>
      </c>
      <c r="E11" s="20"/>
      <c r="F11" s="20" t="s">
        <v>655</v>
      </c>
      <c r="G11" s="20">
        <v>60136</v>
      </c>
      <c r="H11" s="20">
        <v>805001</v>
      </c>
      <c r="I11" s="815" t="s">
        <v>656</v>
      </c>
      <c r="J11" s="251">
        <v>500</v>
      </c>
      <c r="K11" s="20">
        <v>2</v>
      </c>
      <c r="L11" s="251">
        <v>1000</v>
      </c>
      <c r="M11" s="253"/>
      <c r="N11" s="251">
        <f t="shared" si="0"/>
        <v>500</v>
      </c>
      <c r="O11" s="20"/>
      <c r="P11" s="251">
        <v>0</v>
      </c>
      <c r="Q11" s="257"/>
      <c r="R11" s="251">
        <f>IF(F11="Yes", N11*(1+#REF!), N11)</f>
        <v>500</v>
      </c>
      <c r="S11" s="20"/>
      <c r="T11" s="251">
        <v>0</v>
      </c>
      <c r="U11" s="257"/>
      <c r="V11" s="20"/>
      <c r="W11" s="256">
        <v>0</v>
      </c>
    </row>
    <row r="12" spans="2:24" ht="17.25" customHeight="1" x14ac:dyDescent="0.2">
      <c r="B12" s="248">
        <v>4</v>
      </c>
      <c r="C12" s="714" t="s">
        <v>455</v>
      </c>
      <c r="D12" s="250" t="s">
        <v>630</v>
      </c>
      <c r="E12" s="20"/>
      <c r="F12" s="20" t="s">
        <v>655</v>
      </c>
      <c r="G12" s="20">
        <v>60136</v>
      </c>
      <c r="H12" s="20">
        <v>805001</v>
      </c>
      <c r="I12" s="815" t="s">
        <v>656</v>
      </c>
      <c r="J12" s="251">
        <v>500</v>
      </c>
      <c r="K12" s="20"/>
      <c r="L12" s="251">
        <v>0</v>
      </c>
      <c r="M12" s="253"/>
      <c r="N12" s="251">
        <f t="shared" si="0"/>
        <v>500</v>
      </c>
      <c r="O12" s="20"/>
      <c r="P12" s="251">
        <v>0</v>
      </c>
      <c r="Q12" s="257"/>
      <c r="R12" s="251">
        <f>IF(F12="Yes", N12*(1+#REF!), N12)</f>
        <v>500</v>
      </c>
      <c r="S12" s="20">
        <v>2</v>
      </c>
      <c r="T12" s="251">
        <v>1000</v>
      </c>
      <c r="U12" s="257"/>
      <c r="V12" s="20"/>
      <c r="W12" s="256">
        <v>0</v>
      </c>
    </row>
    <row r="13" spans="2:24" ht="17.25" customHeight="1" x14ac:dyDescent="0.2">
      <c r="B13" s="248">
        <v>5</v>
      </c>
      <c r="C13" s="714" t="s">
        <v>455</v>
      </c>
      <c r="D13" s="250" t="s">
        <v>631</v>
      </c>
      <c r="E13" s="20"/>
      <c r="F13" s="20" t="s">
        <v>655</v>
      </c>
      <c r="G13" s="20">
        <v>60136</v>
      </c>
      <c r="H13" s="20">
        <v>805001</v>
      </c>
      <c r="I13" s="815" t="s">
        <v>656</v>
      </c>
      <c r="J13" s="251">
        <v>500</v>
      </c>
      <c r="K13" s="20">
        <v>2</v>
      </c>
      <c r="L13" s="251">
        <v>1000</v>
      </c>
      <c r="M13" s="253"/>
      <c r="N13" s="251">
        <f t="shared" si="0"/>
        <v>500</v>
      </c>
      <c r="O13" s="20"/>
      <c r="P13" s="251">
        <v>0</v>
      </c>
      <c r="Q13" s="257"/>
      <c r="R13" s="251">
        <f>IF(F13="Yes", N13*(1+#REF!), N13)</f>
        <v>500</v>
      </c>
      <c r="S13" s="20"/>
      <c r="T13" s="251">
        <v>0</v>
      </c>
      <c r="U13" s="257"/>
      <c r="V13" s="20"/>
      <c r="W13" s="256">
        <v>0</v>
      </c>
    </row>
    <row r="14" spans="2:24" ht="17.25" customHeight="1" x14ac:dyDescent="0.2">
      <c r="B14" s="248">
        <v>6</v>
      </c>
      <c r="C14" s="714" t="s">
        <v>455</v>
      </c>
      <c r="D14" s="250" t="s">
        <v>632</v>
      </c>
      <c r="E14" s="20"/>
      <c r="F14" s="20" t="s">
        <v>655</v>
      </c>
      <c r="G14" s="20">
        <v>60136</v>
      </c>
      <c r="H14" s="20">
        <v>805001</v>
      </c>
      <c r="I14" s="815" t="s">
        <v>656</v>
      </c>
      <c r="J14" s="251">
        <v>500</v>
      </c>
      <c r="K14" s="20"/>
      <c r="L14" s="251">
        <v>0</v>
      </c>
      <c r="M14" s="253"/>
      <c r="N14" s="251">
        <f t="shared" si="0"/>
        <v>500</v>
      </c>
      <c r="O14" s="20"/>
      <c r="P14" s="251">
        <v>0</v>
      </c>
      <c r="Q14" s="257"/>
      <c r="R14" s="251">
        <f>IF(F14="Yes", N14*(1+#REF!), N14)</f>
        <v>500</v>
      </c>
      <c r="S14" s="20">
        <v>7</v>
      </c>
      <c r="T14" s="251">
        <v>3500</v>
      </c>
      <c r="U14" s="257"/>
      <c r="V14" s="20"/>
      <c r="W14" s="256">
        <v>0</v>
      </c>
    </row>
    <row r="15" spans="2:24" ht="17.25" customHeight="1" x14ac:dyDescent="0.2">
      <c r="B15" s="248">
        <v>7</v>
      </c>
      <c r="C15" s="714" t="s">
        <v>455</v>
      </c>
      <c r="D15" s="250" t="s">
        <v>633</v>
      </c>
      <c r="E15" s="20"/>
      <c r="F15" s="20" t="s">
        <v>655</v>
      </c>
      <c r="G15" s="20">
        <v>60136</v>
      </c>
      <c r="H15" s="20">
        <v>805001</v>
      </c>
      <c r="I15" s="815" t="s">
        <v>656</v>
      </c>
      <c r="J15" s="251">
        <v>500</v>
      </c>
      <c r="K15" s="20">
        <v>7</v>
      </c>
      <c r="L15" s="251">
        <v>3500</v>
      </c>
      <c r="M15" s="253"/>
      <c r="N15" s="251">
        <f t="shared" si="0"/>
        <v>500</v>
      </c>
      <c r="O15" s="20"/>
      <c r="P15" s="251">
        <v>0</v>
      </c>
      <c r="Q15" s="257"/>
      <c r="R15" s="251">
        <f>IF(F15="Yes", N15*(1+#REF!), N15)</f>
        <v>500</v>
      </c>
      <c r="S15" s="20"/>
      <c r="T15" s="251">
        <v>0</v>
      </c>
      <c r="U15" s="257"/>
      <c r="V15" s="20"/>
      <c r="W15" s="256">
        <v>0</v>
      </c>
    </row>
    <row r="16" spans="2:24" ht="17.25" customHeight="1" x14ac:dyDescent="0.2">
      <c r="B16" s="248">
        <v>8</v>
      </c>
      <c r="C16" s="714" t="s">
        <v>455</v>
      </c>
      <c r="D16" s="250" t="s">
        <v>634</v>
      </c>
      <c r="E16" s="20"/>
      <c r="F16" s="20" t="s">
        <v>655</v>
      </c>
      <c r="G16" s="20">
        <v>60136</v>
      </c>
      <c r="H16" s="20">
        <v>805001</v>
      </c>
      <c r="I16" s="815" t="s">
        <v>656</v>
      </c>
      <c r="J16" s="251">
        <v>500</v>
      </c>
      <c r="K16" s="20"/>
      <c r="L16" s="251">
        <v>0</v>
      </c>
      <c r="M16" s="253"/>
      <c r="N16" s="251">
        <f t="shared" si="0"/>
        <v>500</v>
      </c>
      <c r="O16" s="20"/>
      <c r="P16" s="251">
        <v>0</v>
      </c>
      <c r="Q16" s="257"/>
      <c r="R16" s="251">
        <f>IF(F16="Yes", N16*(1+#REF!), N16)</f>
        <v>500</v>
      </c>
      <c r="S16" s="20">
        <v>6</v>
      </c>
      <c r="T16" s="251">
        <v>3000</v>
      </c>
      <c r="U16" s="257"/>
      <c r="V16" s="20"/>
      <c r="W16" s="256">
        <v>0</v>
      </c>
    </row>
    <row r="17" spans="2:23" ht="17.25" customHeight="1" x14ac:dyDescent="0.2">
      <c r="B17" s="248">
        <v>9</v>
      </c>
      <c r="C17" s="714" t="s">
        <v>455</v>
      </c>
      <c r="D17" s="250" t="s">
        <v>635</v>
      </c>
      <c r="E17" s="20"/>
      <c r="F17" s="20" t="s">
        <v>655</v>
      </c>
      <c r="G17" s="20">
        <v>60136</v>
      </c>
      <c r="H17" s="20">
        <v>805001</v>
      </c>
      <c r="I17" s="815" t="s">
        <v>656</v>
      </c>
      <c r="J17" s="251">
        <v>500</v>
      </c>
      <c r="K17" s="20">
        <v>7</v>
      </c>
      <c r="L17" s="251">
        <v>3500</v>
      </c>
      <c r="M17" s="253"/>
      <c r="N17" s="251">
        <f t="shared" si="0"/>
        <v>500</v>
      </c>
      <c r="O17" s="20"/>
      <c r="P17" s="251">
        <v>0</v>
      </c>
      <c r="Q17" s="257"/>
      <c r="R17" s="251">
        <f>IF(F17="Yes", N17*(1+#REF!), N17)</f>
        <v>500</v>
      </c>
      <c r="S17" s="20"/>
      <c r="T17" s="251">
        <v>0</v>
      </c>
      <c r="U17" s="257"/>
      <c r="V17" s="20"/>
      <c r="W17" s="256">
        <v>0</v>
      </c>
    </row>
    <row r="18" spans="2:23" ht="17.25" customHeight="1" x14ac:dyDescent="0.2">
      <c r="B18" s="248">
        <v>10</v>
      </c>
      <c r="C18" s="714" t="s">
        <v>455</v>
      </c>
      <c r="D18" s="250" t="s">
        <v>636</v>
      </c>
      <c r="E18" s="20"/>
      <c r="F18" s="20" t="s">
        <v>655</v>
      </c>
      <c r="G18" s="20">
        <v>60136</v>
      </c>
      <c r="H18" s="20">
        <v>805001</v>
      </c>
      <c r="I18" s="815" t="s">
        <v>656</v>
      </c>
      <c r="J18" s="251">
        <v>500</v>
      </c>
      <c r="K18" s="20"/>
      <c r="L18" s="251">
        <v>0</v>
      </c>
      <c r="M18" s="253"/>
      <c r="N18" s="251">
        <f t="shared" si="0"/>
        <v>500</v>
      </c>
      <c r="O18" s="20"/>
      <c r="P18" s="251">
        <v>0</v>
      </c>
      <c r="Q18" s="257"/>
      <c r="R18" s="251">
        <f>IF(F18="Yes", N18*(1+#REF!), N18)</f>
        <v>500</v>
      </c>
      <c r="S18" s="20">
        <v>2</v>
      </c>
      <c r="T18" s="251">
        <v>1000</v>
      </c>
      <c r="U18" s="257"/>
      <c r="V18" s="20"/>
      <c r="W18" s="256">
        <v>0</v>
      </c>
    </row>
    <row r="19" spans="2:23" ht="17.25" customHeight="1" x14ac:dyDescent="0.2">
      <c r="B19" s="248">
        <v>11</v>
      </c>
      <c r="C19" s="714" t="s">
        <v>455</v>
      </c>
      <c r="D19" s="250" t="s">
        <v>637</v>
      </c>
      <c r="E19" s="20"/>
      <c r="F19" s="20" t="s">
        <v>655</v>
      </c>
      <c r="G19" s="20">
        <v>60136</v>
      </c>
      <c r="H19" s="20">
        <v>805001</v>
      </c>
      <c r="I19" s="815" t="s">
        <v>656</v>
      </c>
      <c r="J19" s="251">
        <v>500</v>
      </c>
      <c r="K19" s="20">
        <v>2</v>
      </c>
      <c r="L19" s="251">
        <v>1000</v>
      </c>
      <c r="M19" s="253"/>
      <c r="N19" s="251">
        <f t="shared" si="0"/>
        <v>500</v>
      </c>
      <c r="O19" s="20"/>
      <c r="P19" s="251">
        <v>0</v>
      </c>
      <c r="Q19" s="257"/>
      <c r="R19" s="251">
        <f>IF(F19="Yes", N19*(1+#REF!), N19)</f>
        <v>500</v>
      </c>
      <c r="S19" s="20"/>
      <c r="T19" s="251">
        <v>0</v>
      </c>
      <c r="U19" s="257"/>
      <c r="V19" s="20"/>
      <c r="W19" s="256">
        <v>0</v>
      </c>
    </row>
    <row r="20" spans="2:23" ht="17.25" customHeight="1" x14ac:dyDescent="0.2">
      <c r="B20" s="248">
        <v>12</v>
      </c>
      <c r="C20" s="714" t="s">
        <v>455</v>
      </c>
      <c r="D20" s="250" t="s">
        <v>638</v>
      </c>
      <c r="E20" s="20"/>
      <c r="F20" s="20" t="s">
        <v>655</v>
      </c>
      <c r="G20" s="20">
        <v>60136</v>
      </c>
      <c r="H20" s="20">
        <v>805001</v>
      </c>
      <c r="I20" s="815" t="s">
        <v>656</v>
      </c>
      <c r="J20" s="251">
        <v>500</v>
      </c>
      <c r="K20" s="20"/>
      <c r="L20" s="251">
        <v>0</v>
      </c>
      <c r="M20" s="253"/>
      <c r="N20" s="251">
        <f t="shared" si="0"/>
        <v>500</v>
      </c>
      <c r="O20" s="20"/>
      <c r="P20" s="251">
        <v>0</v>
      </c>
      <c r="Q20" s="257"/>
      <c r="R20" s="251">
        <f>IF(F20="Yes", N20*(1+#REF!), N20)</f>
        <v>500</v>
      </c>
      <c r="S20" s="20">
        <v>6</v>
      </c>
      <c r="T20" s="251">
        <v>3000</v>
      </c>
      <c r="U20" s="257"/>
      <c r="V20" s="20"/>
      <c r="W20" s="256">
        <v>0</v>
      </c>
    </row>
    <row r="21" spans="2:23" ht="17.25" customHeight="1" x14ac:dyDescent="0.2">
      <c r="B21" s="248">
        <v>13</v>
      </c>
      <c r="C21" s="714" t="s">
        <v>455</v>
      </c>
      <c r="D21" s="250" t="s">
        <v>639</v>
      </c>
      <c r="E21" s="20"/>
      <c r="F21" s="20" t="s">
        <v>655</v>
      </c>
      <c r="G21" s="20">
        <v>60136</v>
      </c>
      <c r="H21" s="20">
        <v>805001</v>
      </c>
      <c r="I21" s="815" t="s">
        <v>656</v>
      </c>
      <c r="J21" s="251">
        <v>500</v>
      </c>
      <c r="K21" s="20">
        <v>2</v>
      </c>
      <c r="L21" s="251">
        <v>1000</v>
      </c>
      <c r="M21" s="253"/>
      <c r="N21" s="251">
        <f t="shared" si="0"/>
        <v>500</v>
      </c>
      <c r="O21" s="20"/>
      <c r="P21" s="251">
        <v>0</v>
      </c>
      <c r="Q21" s="257"/>
      <c r="R21" s="251">
        <f>IF(F21="Yes", N21*(1+#REF!), N21)</f>
        <v>500</v>
      </c>
      <c r="S21" s="20"/>
      <c r="T21" s="251">
        <v>0</v>
      </c>
      <c r="U21" s="257"/>
      <c r="V21" s="20"/>
      <c r="W21" s="256">
        <v>0</v>
      </c>
    </row>
    <row r="22" spans="2:23" ht="17.25" customHeight="1" x14ac:dyDescent="0.2">
      <c r="B22" s="248">
        <v>14</v>
      </c>
      <c r="C22" s="714" t="s">
        <v>455</v>
      </c>
      <c r="D22" s="250" t="s">
        <v>640</v>
      </c>
      <c r="E22" s="20"/>
      <c r="F22" s="20" t="s">
        <v>655</v>
      </c>
      <c r="G22" s="20">
        <v>60136</v>
      </c>
      <c r="H22" s="20">
        <v>805001</v>
      </c>
      <c r="I22" s="815" t="s">
        <v>656</v>
      </c>
      <c r="J22" s="792">
        <v>5048</v>
      </c>
      <c r="K22" s="20"/>
      <c r="L22" s="251">
        <v>0</v>
      </c>
      <c r="M22" s="253"/>
      <c r="N22" s="251">
        <f t="shared" si="0"/>
        <v>5048</v>
      </c>
      <c r="O22" s="20"/>
      <c r="P22" s="251">
        <v>0</v>
      </c>
      <c r="Q22" s="257"/>
      <c r="R22" s="251">
        <f>IF(F22="Yes", N22*(1+#REF!), N22)</f>
        <v>5048</v>
      </c>
      <c r="S22" s="20"/>
      <c r="T22" s="251">
        <v>0</v>
      </c>
      <c r="U22" s="257"/>
      <c r="V22" s="20"/>
      <c r="W22" s="256">
        <v>0</v>
      </c>
    </row>
    <row r="23" spans="2:23" ht="17.25" customHeight="1" x14ac:dyDescent="0.2">
      <c r="B23" s="248">
        <v>15</v>
      </c>
      <c r="C23" s="714" t="s">
        <v>455</v>
      </c>
      <c r="D23" s="250" t="s">
        <v>641</v>
      </c>
      <c r="E23" s="20"/>
      <c r="F23" s="20" t="s">
        <v>655</v>
      </c>
      <c r="G23" s="20">
        <v>60136</v>
      </c>
      <c r="H23" s="20">
        <v>805001</v>
      </c>
      <c r="I23" s="815" t="s">
        <v>656</v>
      </c>
      <c r="J23" s="792">
        <v>4352</v>
      </c>
      <c r="K23" s="20"/>
      <c r="L23" s="251">
        <v>0</v>
      </c>
      <c r="M23" s="253"/>
      <c r="N23" s="251">
        <f t="shared" si="0"/>
        <v>4352</v>
      </c>
      <c r="O23" s="20"/>
      <c r="P23" s="251">
        <v>0</v>
      </c>
      <c r="Q23" s="257"/>
      <c r="R23" s="251">
        <f>IF(F23="Yes", N23*(1+#REF!), N23)</f>
        <v>4352</v>
      </c>
      <c r="S23" s="20"/>
      <c r="T23" s="251">
        <v>0</v>
      </c>
      <c r="U23" s="257"/>
      <c r="V23" s="20"/>
      <c r="W23" s="256">
        <v>0</v>
      </c>
    </row>
    <row r="24" spans="2:23" ht="17.25" customHeight="1" x14ac:dyDescent="0.2">
      <c r="B24" s="248">
        <v>16</v>
      </c>
      <c r="C24" s="714" t="s">
        <v>455</v>
      </c>
      <c r="D24" s="250" t="s">
        <v>642</v>
      </c>
      <c r="E24" s="20"/>
      <c r="F24" s="20" t="s">
        <v>655</v>
      </c>
      <c r="G24" s="20">
        <v>60136</v>
      </c>
      <c r="H24" s="20">
        <v>805001</v>
      </c>
      <c r="I24" s="815" t="s">
        <v>656</v>
      </c>
      <c r="J24" s="792">
        <v>3995</v>
      </c>
      <c r="K24" s="20"/>
      <c r="L24" s="251">
        <v>0</v>
      </c>
      <c r="M24" s="253"/>
      <c r="N24" s="251">
        <f t="shared" si="0"/>
        <v>3995</v>
      </c>
      <c r="O24" s="20"/>
      <c r="P24" s="251">
        <v>0</v>
      </c>
      <c r="Q24" s="257"/>
      <c r="R24" s="251">
        <f>IF(F24="Yes", N24*(1+#REF!), N24)</f>
        <v>3995</v>
      </c>
      <c r="S24" s="20"/>
      <c r="T24" s="251">
        <v>0</v>
      </c>
      <c r="U24" s="257"/>
      <c r="V24" s="20"/>
      <c r="W24" s="256">
        <v>0</v>
      </c>
    </row>
    <row r="25" spans="2:23" ht="17.25" customHeight="1" x14ac:dyDescent="0.2">
      <c r="B25" s="248">
        <v>17</v>
      </c>
      <c r="C25" s="714" t="s">
        <v>455</v>
      </c>
      <c r="D25" s="250" t="s">
        <v>643</v>
      </c>
      <c r="E25" s="20"/>
      <c r="F25" s="20" t="s">
        <v>655</v>
      </c>
      <c r="G25" s="20">
        <v>60136</v>
      </c>
      <c r="H25" s="20">
        <v>805001</v>
      </c>
      <c r="I25" s="815" t="s">
        <v>656</v>
      </c>
      <c r="J25" s="792">
        <v>4218</v>
      </c>
      <c r="K25" s="20"/>
      <c r="L25" s="251">
        <v>0</v>
      </c>
      <c r="M25" s="253"/>
      <c r="N25" s="251">
        <f>IF(F25="Yes", J25*(1+$I$4), J25)</f>
        <v>4218</v>
      </c>
      <c r="O25" s="20">
        <v>2</v>
      </c>
      <c r="P25" s="251">
        <v>8436</v>
      </c>
      <c r="Q25" s="257"/>
      <c r="R25" s="251">
        <f>IF(F25="Yes", N25*(1+#REF!), N25)</f>
        <v>4218</v>
      </c>
      <c r="S25" s="20"/>
      <c r="T25" s="251">
        <v>0</v>
      </c>
      <c r="U25" s="257"/>
      <c r="V25" s="20"/>
      <c r="W25" s="256">
        <v>0</v>
      </c>
    </row>
    <row r="26" spans="2:23" ht="17.25" customHeight="1" x14ac:dyDescent="0.2">
      <c r="B26" s="248">
        <v>18</v>
      </c>
      <c r="C26" s="714" t="s">
        <v>455</v>
      </c>
      <c r="D26" s="250" t="s">
        <v>644</v>
      </c>
      <c r="E26" s="20"/>
      <c r="F26" s="20" t="s">
        <v>655</v>
      </c>
      <c r="G26" s="20">
        <v>60136</v>
      </c>
      <c r="H26" s="20">
        <v>805001</v>
      </c>
      <c r="I26" s="815" t="s">
        <v>656</v>
      </c>
      <c r="J26" s="792">
        <v>3246</v>
      </c>
      <c r="K26" s="20"/>
      <c r="L26" s="251">
        <v>0</v>
      </c>
      <c r="M26" s="253"/>
      <c r="N26" s="251">
        <f t="shared" si="0"/>
        <v>3246</v>
      </c>
      <c r="O26" s="20">
        <v>2</v>
      </c>
      <c r="P26" s="251">
        <v>6492</v>
      </c>
      <c r="Q26" s="257"/>
      <c r="R26" s="251">
        <f>IF(F26="Yes", N26*(1+#REF!), N26)</f>
        <v>3246</v>
      </c>
      <c r="S26" s="20"/>
      <c r="T26" s="251">
        <v>0</v>
      </c>
      <c r="U26" s="257"/>
      <c r="V26" s="20"/>
      <c r="W26" s="256">
        <v>0</v>
      </c>
    </row>
    <row r="27" spans="2:23" ht="17.25" customHeight="1" x14ac:dyDescent="0.2">
      <c r="B27" s="248">
        <v>19</v>
      </c>
      <c r="C27" s="714" t="s">
        <v>455</v>
      </c>
      <c r="D27" s="250" t="s">
        <v>645</v>
      </c>
      <c r="E27" s="20"/>
      <c r="F27" s="20" t="s">
        <v>655</v>
      </c>
      <c r="G27" s="20">
        <v>60136</v>
      </c>
      <c r="H27" s="20">
        <v>805001</v>
      </c>
      <c r="I27" s="815" t="s">
        <v>656</v>
      </c>
      <c r="J27" s="792">
        <v>3330</v>
      </c>
      <c r="K27" s="20"/>
      <c r="L27" s="251">
        <v>0</v>
      </c>
      <c r="M27" s="253"/>
      <c r="N27" s="251">
        <f t="shared" si="0"/>
        <v>3330</v>
      </c>
      <c r="O27" s="20">
        <v>4</v>
      </c>
      <c r="P27" s="251">
        <v>13320</v>
      </c>
      <c r="Q27" s="257"/>
      <c r="R27" s="251">
        <f>IF(F27="Yes", N27*(1+#REF!), N27)</f>
        <v>3330</v>
      </c>
      <c r="S27" s="20">
        <v>3</v>
      </c>
      <c r="T27" s="251">
        <v>9990</v>
      </c>
      <c r="U27" s="257"/>
      <c r="V27" s="20"/>
      <c r="W27" s="256">
        <v>0</v>
      </c>
    </row>
    <row r="28" spans="2:23" ht="17.25" customHeight="1" x14ac:dyDescent="0.2">
      <c r="B28" s="248">
        <v>20</v>
      </c>
      <c r="C28" s="714" t="s">
        <v>455</v>
      </c>
      <c r="D28" s="250" t="s">
        <v>646</v>
      </c>
      <c r="E28" s="20"/>
      <c r="F28" s="20" t="s">
        <v>655</v>
      </c>
      <c r="G28" s="20">
        <v>60136</v>
      </c>
      <c r="H28" s="20">
        <v>805001</v>
      </c>
      <c r="I28" s="815" t="s">
        <v>656</v>
      </c>
      <c r="J28" s="792">
        <v>4011</v>
      </c>
      <c r="K28" s="20"/>
      <c r="L28" s="251">
        <v>0</v>
      </c>
      <c r="M28" s="253"/>
      <c r="N28" s="251">
        <f t="shared" si="0"/>
        <v>4011</v>
      </c>
      <c r="O28" s="20"/>
      <c r="P28" s="251">
        <v>0</v>
      </c>
      <c r="Q28" s="257"/>
      <c r="R28" s="251">
        <f>IF(F28="Yes", N28*(1+#REF!), N28)</f>
        <v>4011</v>
      </c>
      <c r="S28" s="20">
        <v>1</v>
      </c>
      <c r="T28" s="251">
        <v>4011</v>
      </c>
      <c r="U28" s="257"/>
      <c r="V28" s="20"/>
      <c r="W28" s="256">
        <v>0</v>
      </c>
    </row>
    <row r="29" spans="2:23" x14ac:dyDescent="0.2">
      <c r="B29" s="248">
        <v>21</v>
      </c>
      <c r="C29" s="714" t="s">
        <v>455</v>
      </c>
      <c r="D29" s="250" t="s">
        <v>647</v>
      </c>
      <c r="E29" s="20"/>
      <c r="F29" s="20" t="s">
        <v>655</v>
      </c>
      <c r="G29" s="20">
        <v>60136</v>
      </c>
      <c r="H29" s="20">
        <v>805001</v>
      </c>
      <c r="I29" s="815" t="s">
        <v>656</v>
      </c>
      <c r="J29" s="792">
        <v>1788</v>
      </c>
      <c r="K29" s="20"/>
      <c r="L29" s="251">
        <v>0</v>
      </c>
      <c r="M29" s="253"/>
      <c r="N29" s="251">
        <f t="shared" si="0"/>
        <v>1788</v>
      </c>
      <c r="O29" s="20">
        <v>24</v>
      </c>
      <c r="P29" s="251">
        <v>44068</v>
      </c>
      <c r="Q29" s="257"/>
      <c r="R29" s="251">
        <f>IF(F29="Yes", N29*(1+#REF!), N29)</f>
        <v>1788</v>
      </c>
      <c r="S29" s="20"/>
      <c r="T29" s="251">
        <v>0</v>
      </c>
      <c r="U29" s="257"/>
      <c r="V29" s="20"/>
      <c r="W29" s="256">
        <v>0</v>
      </c>
    </row>
    <row r="30" spans="2:23" x14ac:dyDescent="0.2">
      <c r="B30" s="248">
        <v>22</v>
      </c>
      <c r="C30" s="714" t="s">
        <v>455</v>
      </c>
      <c r="D30" s="250" t="s">
        <v>830</v>
      </c>
      <c r="E30" s="20"/>
      <c r="F30" s="20" t="s">
        <v>655</v>
      </c>
      <c r="G30" s="800">
        <v>60136</v>
      </c>
      <c r="H30" s="800">
        <v>805001</v>
      </c>
      <c r="I30" s="815" t="s">
        <v>837</v>
      </c>
      <c r="J30" s="792">
        <v>2245</v>
      </c>
      <c r="K30" s="20"/>
      <c r="L30" s="251">
        <v>0</v>
      </c>
      <c r="M30" s="253"/>
      <c r="N30" s="792">
        <v>2245</v>
      </c>
      <c r="O30" s="20"/>
      <c r="P30" s="792">
        <v>0</v>
      </c>
      <c r="Q30" s="257"/>
      <c r="R30" s="792">
        <v>2245</v>
      </c>
      <c r="S30" s="20"/>
      <c r="T30" s="792">
        <v>0</v>
      </c>
      <c r="U30" s="257"/>
      <c r="V30" s="20"/>
      <c r="W30" s="256">
        <v>0</v>
      </c>
    </row>
    <row r="31" spans="2:23" ht="17.25" customHeight="1" x14ac:dyDescent="0.2">
      <c r="B31" s="248">
        <v>23</v>
      </c>
      <c r="C31" s="714" t="s">
        <v>455</v>
      </c>
      <c r="D31" s="250" t="s">
        <v>831</v>
      </c>
      <c r="E31" s="20"/>
      <c r="F31" s="20" t="s">
        <v>655</v>
      </c>
      <c r="G31" s="800">
        <v>60136</v>
      </c>
      <c r="H31" s="800">
        <v>805001</v>
      </c>
      <c r="I31" s="815" t="s">
        <v>837</v>
      </c>
      <c r="J31" s="792">
        <v>1305</v>
      </c>
      <c r="K31" s="20"/>
      <c r="L31" s="251">
        <v>0</v>
      </c>
      <c r="M31" s="253"/>
      <c r="N31" s="792">
        <v>1305</v>
      </c>
      <c r="O31" s="20">
        <v>2</v>
      </c>
      <c r="P31" s="251">
        <v>2610</v>
      </c>
      <c r="Q31" s="257"/>
      <c r="R31" s="251">
        <v>2610</v>
      </c>
      <c r="S31" s="20">
        <v>2</v>
      </c>
      <c r="T31" s="251">
        <v>2610</v>
      </c>
      <c r="U31" s="257"/>
      <c r="V31" s="20"/>
      <c r="W31" s="256">
        <v>0</v>
      </c>
    </row>
    <row r="32" spans="2:23" ht="17.25" customHeight="1" x14ac:dyDescent="0.2">
      <c r="B32" s="248">
        <v>24</v>
      </c>
      <c r="C32" s="714" t="s">
        <v>455</v>
      </c>
      <c r="D32" s="250" t="s">
        <v>832</v>
      </c>
      <c r="E32" s="20"/>
      <c r="F32" s="20" t="s">
        <v>655</v>
      </c>
      <c r="G32" s="800">
        <v>60136</v>
      </c>
      <c r="H32" s="800">
        <v>805001</v>
      </c>
      <c r="I32" s="815" t="s">
        <v>837</v>
      </c>
      <c r="J32" s="792">
        <v>941</v>
      </c>
      <c r="K32" s="20"/>
      <c r="L32" s="251">
        <v>0</v>
      </c>
      <c r="M32" s="253"/>
      <c r="N32" s="792">
        <v>941</v>
      </c>
      <c r="O32" s="20">
        <v>4</v>
      </c>
      <c r="P32" s="251">
        <v>3764</v>
      </c>
      <c r="Q32" s="257"/>
      <c r="R32" s="251">
        <v>3764</v>
      </c>
      <c r="S32" s="20">
        <v>2</v>
      </c>
      <c r="T32" s="251">
        <v>3764</v>
      </c>
      <c r="U32" s="257"/>
      <c r="V32" s="20"/>
      <c r="W32" s="256">
        <v>0</v>
      </c>
    </row>
    <row r="33" spans="2:23" ht="17.25" customHeight="1" x14ac:dyDescent="0.2">
      <c r="B33" s="248">
        <v>25</v>
      </c>
      <c r="C33" s="714" t="s">
        <v>455</v>
      </c>
      <c r="D33" s="250" t="s">
        <v>833</v>
      </c>
      <c r="E33" s="20"/>
      <c r="F33" s="20" t="s">
        <v>655</v>
      </c>
      <c r="G33" s="800">
        <v>60136</v>
      </c>
      <c r="H33" s="800">
        <v>805001</v>
      </c>
      <c r="I33" s="815" t="s">
        <v>837</v>
      </c>
      <c r="J33" s="792">
        <v>2245</v>
      </c>
      <c r="K33" s="20"/>
      <c r="L33" s="251">
        <v>0</v>
      </c>
      <c r="M33" s="253"/>
      <c r="N33" s="792">
        <v>2245</v>
      </c>
      <c r="O33" s="20">
        <v>2</v>
      </c>
      <c r="P33" s="251">
        <v>4490</v>
      </c>
      <c r="Q33" s="257"/>
      <c r="R33" s="251">
        <v>4490</v>
      </c>
      <c r="S33" s="20">
        <v>2</v>
      </c>
      <c r="T33" s="251">
        <v>4490</v>
      </c>
      <c r="U33" s="257"/>
      <c r="V33" s="20"/>
      <c r="W33" s="256">
        <v>0</v>
      </c>
    </row>
    <row r="34" spans="2:23" ht="17.25" customHeight="1" x14ac:dyDescent="0.2">
      <c r="B34" s="248">
        <v>26</v>
      </c>
      <c r="C34" s="714" t="s">
        <v>455</v>
      </c>
      <c r="D34" s="250" t="s">
        <v>834</v>
      </c>
      <c r="E34" s="20"/>
      <c r="F34" s="20" t="s">
        <v>655</v>
      </c>
      <c r="G34" s="800">
        <v>60136</v>
      </c>
      <c r="H34" s="800">
        <v>805001</v>
      </c>
      <c r="I34" s="815" t="s">
        <v>837</v>
      </c>
      <c r="J34" s="792">
        <v>1960</v>
      </c>
      <c r="K34" s="20"/>
      <c r="L34" s="251">
        <v>0</v>
      </c>
      <c r="M34" s="253"/>
      <c r="N34" s="792">
        <v>1960</v>
      </c>
      <c r="O34" s="20">
        <v>3</v>
      </c>
      <c r="P34" s="251">
        <v>5880</v>
      </c>
      <c r="Q34" s="257"/>
      <c r="R34" s="251">
        <v>5880</v>
      </c>
      <c r="S34" s="20">
        <v>2</v>
      </c>
      <c r="T34" s="251">
        <v>5880</v>
      </c>
      <c r="U34" s="257"/>
      <c r="V34" s="20"/>
      <c r="W34" s="256">
        <v>0</v>
      </c>
    </row>
    <row r="35" spans="2:23" ht="17.25" customHeight="1" x14ac:dyDescent="0.2">
      <c r="B35" s="248">
        <v>27</v>
      </c>
      <c r="C35" s="714" t="s">
        <v>455</v>
      </c>
      <c r="D35" s="250" t="s">
        <v>835</v>
      </c>
      <c r="E35" s="20"/>
      <c r="F35" s="20" t="s">
        <v>655</v>
      </c>
      <c r="G35" s="800">
        <v>60136</v>
      </c>
      <c r="H35" s="800">
        <v>805001</v>
      </c>
      <c r="I35" s="815" t="s">
        <v>837</v>
      </c>
      <c r="J35" s="792">
        <v>286</v>
      </c>
      <c r="K35" s="20"/>
      <c r="L35" s="251">
        <v>0</v>
      </c>
      <c r="M35" s="253"/>
      <c r="N35" s="792">
        <v>286</v>
      </c>
      <c r="O35" s="20">
        <v>3</v>
      </c>
      <c r="P35" s="251">
        <v>858</v>
      </c>
      <c r="Q35" s="257"/>
      <c r="R35" s="251">
        <v>858</v>
      </c>
      <c r="S35" s="20">
        <v>2</v>
      </c>
      <c r="T35" s="251">
        <v>858</v>
      </c>
      <c r="U35" s="257"/>
      <c r="V35" s="20"/>
      <c r="W35" s="256">
        <v>0</v>
      </c>
    </row>
    <row r="36" spans="2:23" ht="28.5" x14ac:dyDescent="0.2">
      <c r="B36" s="248">
        <v>28</v>
      </c>
      <c r="C36" s="714" t="s">
        <v>455</v>
      </c>
      <c r="D36" s="250" t="s">
        <v>648</v>
      </c>
      <c r="E36" s="20"/>
      <c r="F36" s="20" t="s">
        <v>655</v>
      </c>
      <c r="G36" s="20">
        <v>60149</v>
      </c>
      <c r="H36" s="20">
        <v>805001</v>
      </c>
      <c r="I36" s="815" t="s">
        <v>658</v>
      </c>
      <c r="J36" s="711" t="s">
        <v>657</v>
      </c>
      <c r="K36" s="20"/>
      <c r="L36" s="251">
        <v>0</v>
      </c>
      <c r="M36" s="253"/>
      <c r="N36" s="711" t="str">
        <f t="shared" si="0"/>
        <v>$200 plus $2 per word</v>
      </c>
      <c r="O36" s="20"/>
      <c r="P36" s="251">
        <v>95000</v>
      </c>
      <c r="Q36" s="257"/>
      <c r="R36" s="711" t="str">
        <f>IF(F36="Yes", N36*(1+#REF!), N36)</f>
        <v>$200 plus $2 per word</v>
      </c>
      <c r="S36" s="20"/>
      <c r="T36" s="251">
        <v>45000</v>
      </c>
      <c r="U36" s="257"/>
      <c r="V36" s="20"/>
      <c r="W36" s="256">
        <v>0</v>
      </c>
    </row>
    <row r="37" spans="2:23" ht="17.25" customHeight="1" x14ac:dyDescent="0.2">
      <c r="B37" s="248">
        <v>29</v>
      </c>
      <c r="C37" s="714" t="s">
        <v>455</v>
      </c>
      <c r="D37" s="250" t="s">
        <v>649</v>
      </c>
      <c r="E37" s="20"/>
      <c r="F37" s="20" t="s">
        <v>655</v>
      </c>
      <c r="G37" s="20">
        <v>60199</v>
      </c>
      <c r="H37" s="20">
        <v>805001</v>
      </c>
      <c r="I37" s="815" t="s">
        <v>659</v>
      </c>
      <c r="J37" s="251">
        <v>200</v>
      </c>
      <c r="K37" s="20"/>
      <c r="L37" s="251">
        <v>0</v>
      </c>
      <c r="M37" s="253"/>
      <c r="N37" s="251">
        <f t="shared" si="0"/>
        <v>200</v>
      </c>
      <c r="O37" s="20">
        <v>2</v>
      </c>
      <c r="P37" s="251">
        <v>400</v>
      </c>
      <c r="Q37" s="257"/>
      <c r="R37" s="251">
        <f>IF(F37="Yes", N37*(1+#REF!), N37)</f>
        <v>200</v>
      </c>
      <c r="S37" s="20">
        <v>2</v>
      </c>
      <c r="T37" s="251">
        <v>400</v>
      </c>
      <c r="U37" s="257"/>
      <c r="V37" s="20"/>
      <c r="W37" s="256">
        <v>0</v>
      </c>
    </row>
    <row r="38" spans="2:23" x14ac:dyDescent="0.2">
      <c r="B38" s="248">
        <v>30</v>
      </c>
      <c r="C38" s="714" t="s">
        <v>455</v>
      </c>
      <c r="D38" s="250" t="s">
        <v>650</v>
      </c>
      <c r="E38" s="20"/>
      <c r="F38" s="20" t="s">
        <v>655</v>
      </c>
      <c r="G38" s="20">
        <v>60199</v>
      </c>
      <c r="H38" s="20">
        <v>805001</v>
      </c>
      <c r="I38" s="815" t="s">
        <v>659</v>
      </c>
      <c r="J38" s="251">
        <v>200</v>
      </c>
      <c r="K38" s="20"/>
      <c r="L38" s="251">
        <v>0</v>
      </c>
      <c r="M38" s="253"/>
      <c r="N38" s="251">
        <f t="shared" si="0"/>
        <v>200</v>
      </c>
      <c r="O38" s="20">
        <v>1</v>
      </c>
      <c r="P38" s="251">
        <v>200</v>
      </c>
      <c r="Q38" s="257"/>
      <c r="R38" s="251">
        <f>IF(F38="Yes", N38*(1+#REF!), N38)</f>
        <v>200</v>
      </c>
      <c r="S38" s="20">
        <v>1</v>
      </c>
      <c r="T38" s="251">
        <v>200</v>
      </c>
      <c r="U38" s="257"/>
      <c r="V38" s="20"/>
      <c r="W38" s="256">
        <v>0</v>
      </c>
    </row>
    <row r="39" spans="2:23" x14ac:dyDescent="0.2">
      <c r="B39" s="248">
        <v>31</v>
      </c>
      <c r="C39" s="714" t="s">
        <v>455</v>
      </c>
      <c r="D39" s="250" t="s">
        <v>651</v>
      </c>
      <c r="E39" s="20"/>
      <c r="F39" s="20" t="s">
        <v>655</v>
      </c>
      <c r="G39" s="20">
        <v>60199</v>
      </c>
      <c r="H39" s="20">
        <v>805001</v>
      </c>
      <c r="I39" s="815" t="s">
        <v>659</v>
      </c>
      <c r="J39" s="251">
        <v>200</v>
      </c>
      <c r="K39" s="20"/>
      <c r="L39" s="251">
        <v>0</v>
      </c>
      <c r="M39" s="253"/>
      <c r="N39" s="251">
        <f t="shared" si="0"/>
        <v>200</v>
      </c>
      <c r="O39" s="20">
        <v>2</v>
      </c>
      <c r="P39" s="251">
        <v>400</v>
      </c>
      <c r="Q39" s="257"/>
      <c r="R39" s="251">
        <f>IF(F39="Yes", N39*(1+#REF!), N39)</f>
        <v>200</v>
      </c>
      <c r="S39" s="20">
        <v>2</v>
      </c>
      <c r="T39" s="251">
        <v>400</v>
      </c>
      <c r="U39" s="257"/>
      <c r="V39" s="20"/>
      <c r="W39" s="256">
        <v>0</v>
      </c>
    </row>
    <row r="40" spans="2:23" ht="28.5" x14ac:dyDescent="0.2">
      <c r="B40" s="248">
        <v>32</v>
      </c>
      <c r="C40" s="714" t="s">
        <v>455</v>
      </c>
      <c r="D40" s="250" t="s">
        <v>836</v>
      </c>
      <c r="E40" s="20"/>
      <c r="F40" s="20" t="s">
        <v>655</v>
      </c>
      <c r="G40" s="20">
        <v>60199</v>
      </c>
      <c r="H40" s="20">
        <v>805001</v>
      </c>
      <c r="I40" s="815" t="s">
        <v>660</v>
      </c>
      <c r="J40" s="251">
        <v>0.75</v>
      </c>
      <c r="K40" s="20"/>
      <c r="L40" s="251">
        <v>0</v>
      </c>
      <c r="M40" s="253"/>
      <c r="N40" s="251">
        <f t="shared" si="0"/>
        <v>0.75</v>
      </c>
      <c r="O40" s="20">
        <v>200</v>
      </c>
      <c r="P40" s="251">
        <v>150</v>
      </c>
      <c r="Q40" s="257"/>
      <c r="R40" s="251">
        <f>IF(F40="Yes", N40*(1+#REF!), N40)</f>
        <v>0.75</v>
      </c>
      <c r="S40" s="20">
        <v>200</v>
      </c>
      <c r="T40" s="251">
        <v>150</v>
      </c>
      <c r="U40" s="257"/>
      <c r="V40" s="20"/>
      <c r="W40" s="256">
        <v>0</v>
      </c>
    </row>
    <row r="41" spans="2:23" x14ac:dyDescent="0.2">
      <c r="B41" s="248">
        <v>33</v>
      </c>
      <c r="C41" s="714" t="s">
        <v>455</v>
      </c>
      <c r="D41" s="250" t="s">
        <v>652</v>
      </c>
      <c r="E41" s="20"/>
      <c r="F41" s="20" t="s">
        <v>655</v>
      </c>
      <c r="G41" s="20">
        <v>60199</v>
      </c>
      <c r="H41" s="20">
        <v>805001</v>
      </c>
      <c r="I41" s="815" t="s">
        <v>661</v>
      </c>
      <c r="J41" s="251">
        <v>3</v>
      </c>
      <c r="K41" s="20"/>
      <c r="L41" s="251">
        <v>0</v>
      </c>
      <c r="M41" s="253"/>
      <c r="N41" s="251">
        <f t="shared" si="0"/>
        <v>3</v>
      </c>
      <c r="O41" s="20">
        <v>200</v>
      </c>
      <c r="P41" s="251">
        <v>600</v>
      </c>
      <c r="Q41" s="257"/>
      <c r="R41" s="251">
        <f>IF(F41="Yes", N41*(1+#REF!), N41)</f>
        <v>3</v>
      </c>
      <c r="S41" s="20">
        <v>200</v>
      </c>
      <c r="T41" s="251">
        <v>600</v>
      </c>
      <c r="U41" s="257"/>
      <c r="V41" s="20"/>
      <c r="W41" s="256">
        <v>0</v>
      </c>
    </row>
    <row r="42" spans="2:23" x14ac:dyDescent="0.2">
      <c r="B42" s="248">
        <v>34</v>
      </c>
      <c r="C42" s="714" t="s">
        <v>455</v>
      </c>
      <c r="D42" s="20" t="s">
        <v>653</v>
      </c>
      <c r="E42" s="20"/>
      <c r="F42" s="20" t="s">
        <v>655</v>
      </c>
      <c r="G42" s="20">
        <v>60199</v>
      </c>
      <c r="H42" s="20">
        <v>805001</v>
      </c>
      <c r="I42" s="800" t="s">
        <v>662</v>
      </c>
      <c r="J42" s="251">
        <v>5</v>
      </c>
      <c r="K42" s="20"/>
      <c r="L42" s="251">
        <v>0</v>
      </c>
      <c r="M42" s="253"/>
      <c r="N42" s="251">
        <f t="shared" si="0"/>
        <v>5</v>
      </c>
      <c r="O42" s="20">
        <v>325</v>
      </c>
      <c r="P42" s="251">
        <v>1625</v>
      </c>
      <c r="Q42" s="20"/>
      <c r="R42" s="251">
        <f>IF(F42="Yes", N42*(1+#REF!), N42)</f>
        <v>5</v>
      </c>
      <c r="S42" s="20">
        <v>350</v>
      </c>
      <c r="T42" s="251">
        <v>1750</v>
      </c>
      <c r="U42" s="20"/>
      <c r="V42" s="20"/>
      <c r="W42" s="256">
        <v>0</v>
      </c>
    </row>
    <row r="43" spans="2:23" x14ac:dyDescent="0.2">
      <c r="B43" s="248">
        <v>35</v>
      </c>
      <c r="C43" s="714" t="s">
        <v>455</v>
      </c>
      <c r="D43" s="20" t="s">
        <v>654</v>
      </c>
      <c r="E43" s="20"/>
      <c r="F43" s="20" t="s">
        <v>655</v>
      </c>
      <c r="G43" s="20">
        <v>60199</v>
      </c>
      <c r="H43" s="20">
        <v>805001</v>
      </c>
      <c r="I43" s="800" t="s">
        <v>663</v>
      </c>
      <c r="J43" s="251">
        <v>0.1</v>
      </c>
      <c r="K43" s="20"/>
      <c r="L43" s="251">
        <v>0</v>
      </c>
      <c r="M43" s="253"/>
      <c r="N43" s="251">
        <f t="shared" si="0"/>
        <v>0.1</v>
      </c>
      <c r="O43" s="20">
        <v>1000</v>
      </c>
      <c r="P43" s="251">
        <v>100</v>
      </c>
      <c r="Q43" s="20"/>
      <c r="R43" s="251">
        <f>IF(F43="Yes", N43*(1+#REF!), N43)</f>
        <v>0.1</v>
      </c>
      <c r="S43" s="20">
        <v>1000</v>
      </c>
      <c r="T43" s="251">
        <v>100</v>
      </c>
      <c r="U43" s="20"/>
      <c r="V43" s="20"/>
      <c r="W43" s="256">
        <v>0</v>
      </c>
    </row>
    <row r="46" spans="2:23" ht="15" x14ac:dyDescent="0.25">
      <c r="C46" s="258" t="s">
        <v>151</v>
      </c>
      <c r="D46" s="3" t="s">
        <v>152</v>
      </c>
    </row>
    <row r="47" spans="2:23" x14ac:dyDescent="0.2">
      <c r="D47" s="3" t="s">
        <v>153</v>
      </c>
    </row>
    <row r="48" spans="2:23" x14ac:dyDescent="0.2">
      <c r="D48" s="3" t="s">
        <v>154</v>
      </c>
    </row>
    <row r="49" spans="2:2" ht="15" x14ac:dyDescent="0.25">
      <c r="B49" s="258" t="s">
        <v>155</v>
      </c>
    </row>
    <row r="50" spans="2:2" ht="15" x14ac:dyDescent="0.25">
      <c r="B50" s="204" t="s">
        <v>558</v>
      </c>
    </row>
    <row r="51" spans="2:2" ht="15" x14ac:dyDescent="0.25">
      <c r="B51" s="204" t="s">
        <v>559</v>
      </c>
    </row>
  </sheetData>
  <mergeCells count="1">
    <mergeCell ref="B6:K6"/>
  </mergeCells>
  <dataValidations count="1">
    <dataValidation type="list" allowBlank="1" showInputMessage="1" showErrorMessage="1" prompt="Yes for Auto CPI Increase as per Code" sqref="F9:F43">
      <formula1>Auto_CPI_Adjust_Yes_No</formula1>
    </dataValidation>
  </dataValidations>
  <printOptions horizontalCentered="1"/>
  <pageMargins left="0.25" right="0.25" top="0.75" bottom="0.75" header="0.3" footer="0.3"/>
  <pageSetup paperSize="17" scale="70" orientation="landscape" r:id="rId1"/>
  <headerFooter alignWithMargins="0"/>
  <colBreaks count="1" manualBreakCount="1">
    <brk id="24" min="1" max="3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opLeftCell="B38" zoomScaleNormal="100" workbookViewId="0">
      <selection activeCell="K67" sqref="K67"/>
    </sheetView>
  </sheetViews>
  <sheetFormatPr defaultRowHeight="14.25" x14ac:dyDescent="0.2"/>
  <cols>
    <col min="1" max="1" width="6" style="39" customWidth="1"/>
    <col min="2" max="2" width="9.7109375" style="39" bestFit="1" customWidth="1"/>
    <col min="3" max="3" width="10.42578125" style="38" bestFit="1" customWidth="1"/>
    <col min="4" max="4" width="15.140625" style="38" bestFit="1" customWidth="1"/>
    <col min="5" max="5" width="6.28515625" style="38" bestFit="1" customWidth="1"/>
    <col min="6" max="6" width="10.7109375" style="39" customWidth="1"/>
    <col min="7" max="7" width="50.42578125" style="39" bestFit="1" customWidth="1"/>
    <col min="8" max="8" width="12.7109375" style="39" customWidth="1"/>
    <col min="9" max="9" width="14.140625" style="39" customWidth="1"/>
    <col min="10" max="10" width="15.7109375" style="39" customWidth="1"/>
    <col min="11" max="11" width="14.5703125" style="39" customWidth="1"/>
    <col min="12" max="12" width="13.140625" style="39" customWidth="1"/>
    <col min="13" max="13" width="16" style="39" customWidth="1"/>
    <col min="14" max="14" width="14.85546875" style="39" customWidth="1"/>
    <col min="15" max="15" width="24.140625" style="39" bestFit="1" customWidth="1"/>
    <col min="16" max="16" width="3.42578125" style="39" customWidth="1"/>
    <col min="17" max="16384" width="9.140625" style="39"/>
  </cols>
  <sheetData>
    <row r="1" spans="1:15" ht="18" x14ac:dyDescent="0.25">
      <c r="A1" s="36" t="s">
        <v>25</v>
      </c>
      <c r="B1" s="37"/>
    </row>
    <row r="2" spans="1:15" ht="18" x14ac:dyDescent="0.25">
      <c r="A2" s="40" t="s">
        <v>1</v>
      </c>
    </row>
    <row r="4" spans="1:15" x14ac:dyDescent="0.2">
      <c r="A4" s="39" t="s">
        <v>26</v>
      </c>
    </row>
    <row r="5" spans="1:15" ht="15" x14ac:dyDescent="0.25">
      <c r="A5" s="41" t="s">
        <v>27</v>
      </c>
      <c r="E5" s="39"/>
    </row>
    <row r="6" spans="1:15" x14ac:dyDescent="0.2">
      <c r="A6" s="42" t="s">
        <v>28</v>
      </c>
      <c r="E6" s="39"/>
    </row>
    <row r="7" spans="1:15" x14ac:dyDescent="0.2">
      <c r="A7" s="42" t="s">
        <v>29</v>
      </c>
      <c r="B7" s="43"/>
      <c r="C7" s="43"/>
      <c r="D7" s="39"/>
      <c r="E7" s="39"/>
      <c r="I7" s="43"/>
    </row>
    <row r="8" spans="1:15" ht="15" thickBot="1" x14ac:dyDescent="0.25">
      <c r="A8" s="42"/>
      <c r="B8" s="43"/>
      <c r="C8" s="43"/>
      <c r="D8" s="39"/>
      <c r="E8" s="39"/>
      <c r="I8" s="43"/>
    </row>
    <row r="9" spans="1:15" ht="15" x14ac:dyDescent="0.25">
      <c r="A9" s="44" t="s">
        <v>30</v>
      </c>
      <c r="B9" s="45"/>
      <c r="C9" s="45"/>
      <c r="D9" s="45"/>
      <c r="E9" s="45"/>
      <c r="F9" s="45"/>
      <c r="G9" s="45"/>
      <c r="H9" s="45"/>
      <c r="I9" s="45"/>
      <c r="J9" s="46" t="s">
        <v>31</v>
      </c>
      <c r="K9" s="45"/>
      <c r="L9" s="45"/>
      <c r="M9" s="46" t="s">
        <v>31</v>
      </c>
      <c r="N9" s="45"/>
      <c r="O9" s="47" t="s">
        <v>31</v>
      </c>
    </row>
    <row r="10" spans="1:15" s="52" customFormat="1" ht="51" customHeight="1" thickBot="1" x14ac:dyDescent="0.25">
      <c r="A10" s="48" t="s">
        <v>32</v>
      </c>
      <c r="B10" s="49" t="s">
        <v>33</v>
      </c>
      <c r="C10" s="49" t="s">
        <v>34</v>
      </c>
      <c r="D10" s="50" t="s">
        <v>5</v>
      </c>
      <c r="E10" s="50" t="s">
        <v>35</v>
      </c>
      <c r="F10" s="50" t="s">
        <v>36</v>
      </c>
      <c r="G10" s="49" t="s">
        <v>37</v>
      </c>
      <c r="H10" s="49" t="s">
        <v>38</v>
      </c>
      <c r="I10" s="49" t="s">
        <v>39</v>
      </c>
      <c r="J10" s="49" t="s">
        <v>40</v>
      </c>
      <c r="K10" s="49" t="s">
        <v>41</v>
      </c>
      <c r="L10" s="49" t="s">
        <v>42</v>
      </c>
      <c r="M10" s="49" t="s">
        <v>43</v>
      </c>
      <c r="N10" s="49" t="s">
        <v>44</v>
      </c>
      <c r="O10" s="51" t="s">
        <v>45</v>
      </c>
    </row>
    <row r="11" spans="1:15" x14ac:dyDescent="0.2">
      <c r="A11" s="53" t="s">
        <v>32</v>
      </c>
      <c r="B11" s="58" t="s">
        <v>664</v>
      </c>
      <c r="C11" s="58" t="s">
        <v>665</v>
      </c>
      <c r="D11" s="58" t="s">
        <v>666</v>
      </c>
      <c r="E11" s="58">
        <v>1</v>
      </c>
      <c r="F11" s="58">
        <v>1</v>
      </c>
      <c r="G11" s="58" t="s">
        <v>670</v>
      </c>
      <c r="H11" s="715">
        <v>1694263</v>
      </c>
      <c r="I11" s="715">
        <v>1728418</v>
      </c>
      <c r="J11" s="715">
        <v>1728418</v>
      </c>
      <c r="K11" s="715">
        <f>J11-I11</f>
        <v>0</v>
      </c>
      <c r="L11" s="715">
        <v>1754666</v>
      </c>
      <c r="M11" s="715">
        <v>1754666</v>
      </c>
      <c r="N11" s="715">
        <f>M11-L11</f>
        <v>0</v>
      </c>
      <c r="O11" s="813"/>
    </row>
    <row r="12" spans="1:15" x14ac:dyDescent="0.2">
      <c r="A12" s="53" t="s">
        <v>32</v>
      </c>
      <c r="B12" s="58" t="s">
        <v>664</v>
      </c>
      <c r="C12" s="58" t="s">
        <v>665</v>
      </c>
      <c r="D12" s="58" t="s">
        <v>666</v>
      </c>
      <c r="E12" s="58">
        <v>1</v>
      </c>
      <c r="F12" s="58">
        <v>5</v>
      </c>
      <c r="G12" s="58" t="s">
        <v>671</v>
      </c>
      <c r="H12" s="715">
        <v>1739284</v>
      </c>
      <c r="I12" s="715">
        <v>2366248</v>
      </c>
      <c r="J12" s="715">
        <v>2816248</v>
      </c>
      <c r="K12" s="715">
        <f>J12-I12</f>
        <v>450000</v>
      </c>
      <c r="L12" s="715">
        <v>2366248</v>
      </c>
      <c r="M12" s="715">
        <v>2365339.1739999996</v>
      </c>
      <c r="N12" s="715">
        <f t="shared" ref="N12:N21" si="0">M12-L12</f>
        <v>-908.82600000035018</v>
      </c>
      <c r="O12" s="826"/>
    </row>
    <row r="13" spans="1:15" x14ac:dyDescent="0.2">
      <c r="A13" s="53" t="s">
        <v>32</v>
      </c>
      <c r="B13" s="54" t="s">
        <v>664</v>
      </c>
      <c r="C13" s="54" t="s">
        <v>665</v>
      </c>
      <c r="D13" s="54" t="s">
        <v>666</v>
      </c>
      <c r="E13" s="54">
        <v>1</v>
      </c>
      <c r="F13" s="54">
        <v>9</v>
      </c>
      <c r="G13" s="54" t="s">
        <v>672</v>
      </c>
      <c r="H13" s="55">
        <v>14764</v>
      </c>
      <c r="I13" s="55">
        <v>23000</v>
      </c>
      <c r="J13" s="55">
        <v>23000</v>
      </c>
      <c r="K13" s="55">
        <f t="shared" ref="K13:K21" si="1">J13-I13</f>
        <v>0</v>
      </c>
      <c r="L13" s="55">
        <v>23000</v>
      </c>
      <c r="M13" s="56">
        <f>H13*5%+H13</f>
        <v>15502.2</v>
      </c>
      <c r="N13" s="56">
        <f t="shared" si="0"/>
        <v>-7497.7999999999993</v>
      </c>
      <c r="O13" s="827"/>
    </row>
    <row r="14" spans="1:15" x14ac:dyDescent="0.2">
      <c r="A14" s="53" t="s">
        <v>32</v>
      </c>
      <c r="B14" s="54" t="s">
        <v>664</v>
      </c>
      <c r="C14" s="54" t="s">
        <v>665</v>
      </c>
      <c r="D14" s="54" t="s">
        <v>666</v>
      </c>
      <c r="E14" s="54">
        <v>1</v>
      </c>
      <c r="F14" s="54">
        <v>11</v>
      </c>
      <c r="G14" s="54" t="s">
        <v>673</v>
      </c>
      <c r="H14" s="55">
        <v>362262</v>
      </c>
      <c r="I14" s="55">
        <v>574387</v>
      </c>
      <c r="J14" s="55">
        <v>574387</v>
      </c>
      <c r="K14" s="55">
        <f t="shared" si="1"/>
        <v>0</v>
      </c>
      <c r="L14" s="55">
        <v>574387</v>
      </c>
      <c r="M14" s="56">
        <v>363709</v>
      </c>
      <c r="N14" s="56">
        <f t="shared" si="0"/>
        <v>-210678</v>
      </c>
      <c r="O14" s="827"/>
    </row>
    <row r="15" spans="1:15" x14ac:dyDescent="0.2">
      <c r="A15" s="53" t="s">
        <v>32</v>
      </c>
      <c r="B15" s="54" t="s">
        <v>664</v>
      </c>
      <c r="C15" s="54" t="s">
        <v>665</v>
      </c>
      <c r="D15" s="54" t="s">
        <v>666</v>
      </c>
      <c r="E15" s="54">
        <v>1</v>
      </c>
      <c r="F15" s="54">
        <v>12</v>
      </c>
      <c r="G15" s="54" t="s">
        <v>674</v>
      </c>
      <c r="H15" s="55">
        <v>11000</v>
      </c>
      <c r="I15" s="55">
        <v>22000</v>
      </c>
      <c r="J15" s="55">
        <v>22000</v>
      </c>
      <c r="K15" s="55">
        <f t="shared" si="1"/>
        <v>0</v>
      </c>
      <c r="L15" s="55">
        <v>22000</v>
      </c>
      <c r="M15" s="56">
        <v>22000</v>
      </c>
      <c r="N15" s="56">
        <f t="shared" si="0"/>
        <v>0</v>
      </c>
      <c r="O15" s="827"/>
    </row>
    <row r="16" spans="1:15" x14ac:dyDescent="0.2">
      <c r="A16" s="53" t="s">
        <v>32</v>
      </c>
      <c r="B16" s="54" t="s">
        <v>664</v>
      </c>
      <c r="C16" s="54" t="s">
        <v>665</v>
      </c>
      <c r="D16" s="54" t="s">
        <v>666</v>
      </c>
      <c r="E16" s="54">
        <v>13</v>
      </c>
      <c r="F16" s="54">
        <v>13</v>
      </c>
      <c r="G16" s="54" t="s">
        <v>675</v>
      </c>
      <c r="H16" s="55">
        <v>656068</v>
      </c>
      <c r="I16" s="55">
        <v>726717</v>
      </c>
      <c r="J16" s="55">
        <v>726717</v>
      </c>
      <c r="K16" s="55">
        <f t="shared" si="1"/>
        <v>0</v>
      </c>
      <c r="L16" s="55">
        <v>787717</v>
      </c>
      <c r="M16" s="803">
        <v>787717</v>
      </c>
      <c r="N16" s="56">
        <f t="shared" si="0"/>
        <v>0</v>
      </c>
      <c r="O16" s="827"/>
    </row>
    <row r="17" spans="1:15" x14ac:dyDescent="0.2">
      <c r="A17" s="53" t="s">
        <v>32</v>
      </c>
      <c r="B17" s="54" t="s">
        <v>664</v>
      </c>
      <c r="C17" s="54" t="s">
        <v>665</v>
      </c>
      <c r="D17" s="54" t="s">
        <v>666</v>
      </c>
      <c r="E17" s="54">
        <v>13</v>
      </c>
      <c r="F17" s="54">
        <v>14</v>
      </c>
      <c r="G17" s="54" t="s">
        <v>676</v>
      </c>
      <c r="H17" s="55">
        <v>288116</v>
      </c>
      <c r="I17" s="55">
        <v>355871</v>
      </c>
      <c r="J17" s="55">
        <v>355871</v>
      </c>
      <c r="K17" s="55">
        <f t="shared" si="1"/>
        <v>0</v>
      </c>
      <c r="L17" s="55">
        <v>357605</v>
      </c>
      <c r="M17" s="55">
        <v>357605</v>
      </c>
      <c r="N17" s="56">
        <f t="shared" si="0"/>
        <v>0</v>
      </c>
      <c r="O17" s="827"/>
    </row>
    <row r="18" spans="1:15" x14ac:dyDescent="0.2">
      <c r="A18" s="53" t="s">
        <v>32</v>
      </c>
      <c r="B18" s="54" t="s">
        <v>664</v>
      </c>
      <c r="C18" s="54" t="s">
        <v>665</v>
      </c>
      <c r="D18" s="54" t="s">
        <v>666</v>
      </c>
      <c r="E18" s="54">
        <v>13</v>
      </c>
      <c r="F18" s="54">
        <v>15</v>
      </c>
      <c r="G18" s="54" t="s">
        <v>677</v>
      </c>
      <c r="H18" s="55">
        <v>473492</v>
      </c>
      <c r="I18" s="55">
        <v>488583</v>
      </c>
      <c r="J18" s="55">
        <v>488583</v>
      </c>
      <c r="K18" s="55">
        <f t="shared" si="1"/>
        <v>0</v>
      </c>
      <c r="L18" s="55">
        <v>505613</v>
      </c>
      <c r="M18" s="55">
        <v>505613</v>
      </c>
      <c r="N18" s="56">
        <f t="shared" si="0"/>
        <v>0</v>
      </c>
      <c r="O18" s="827"/>
    </row>
    <row r="19" spans="1:15" x14ac:dyDescent="0.2">
      <c r="A19" s="53" t="s">
        <v>32</v>
      </c>
      <c r="B19" s="54" t="s">
        <v>664</v>
      </c>
      <c r="C19" s="54" t="s">
        <v>665</v>
      </c>
      <c r="D19" s="54" t="s">
        <v>666</v>
      </c>
      <c r="E19" s="54">
        <v>13</v>
      </c>
      <c r="F19" s="54">
        <v>16</v>
      </c>
      <c r="G19" s="54" t="s">
        <v>678</v>
      </c>
      <c r="H19" s="55">
        <v>28349</v>
      </c>
      <c r="I19" s="55">
        <v>28363</v>
      </c>
      <c r="J19" s="55">
        <v>28363</v>
      </c>
      <c r="K19" s="55">
        <f t="shared" si="1"/>
        <v>0</v>
      </c>
      <c r="L19" s="55">
        <v>28363</v>
      </c>
      <c r="M19" s="55">
        <v>28363</v>
      </c>
      <c r="N19" s="56">
        <f t="shared" si="0"/>
        <v>0</v>
      </c>
      <c r="O19" s="827"/>
    </row>
    <row r="20" spans="1:15" x14ac:dyDescent="0.2">
      <c r="A20" s="53" t="s">
        <v>32</v>
      </c>
      <c r="B20" s="54" t="s">
        <v>664</v>
      </c>
      <c r="C20" s="54" t="s">
        <v>665</v>
      </c>
      <c r="D20" s="54" t="s">
        <v>666</v>
      </c>
      <c r="E20" s="54">
        <v>13</v>
      </c>
      <c r="F20" s="54">
        <v>17</v>
      </c>
      <c r="G20" s="54" t="s">
        <v>679</v>
      </c>
      <c r="H20" s="55">
        <v>9553</v>
      </c>
      <c r="I20" s="55">
        <v>11786</v>
      </c>
      <c r="J20" s="55">
        <v>11786</v>
      </c>
      <c r="K20" s="55">
        <f t="shared" si="1"/>
        <v>0</v>
      </c>
      <c r="L20" s="55">
        <v>11852</v>
      </c>
      <c r="M20" s="55">
        <v>11852</v>
      </c>
      <c r="N20" s="56">
        <f t="shared" si="0"/>
        <v>0</v>
      </c>
      <c r="O20" s="827"/>
    </row>
    <row r="21" spans="1:15" x14ac:dyDescent="0.2">
      <c r="A21" s="53" t="s">
        <v>32</v>
      </c>
      <c r="B21" s="54" t="s">
        <v>664</v>
      </c>
      <c r="C21" s="54" t="s">
        <v>665</v>
      </c>
      <c r="D21" s="54" t="s">
        <v>666</v>
      </c>
      <c r="E21" s="54">
        <v>13</v>
      </c>
      <c r="F21" s="54">
        <v>19</v>
      </c>
      <c r="G21" s="54" t="s">
        <v>680</v>
      </c>
      <c r="H21" s="55">
        <v>20051</v>
      </c>
      <c r="I21" s="55">
        <v>20201</v>
      </c>
      <c r="J21" s="55">
        <v>20201</v>
      </c>
      <c r="K21" s="55">
        <f t="shared" si="1"/>
        <v>0</v>
      </c>
      <c r="L21" s="55">
        <v>21523</v>
      </c>
      <c r="M21" s="55">
        <v>21523</v>
      </c>
      <c r="N21" s="56">
        <f t="shared" si="0"/>
        <v>0</v>
      </c>
      <c r="O21" s="827"/>
    </row>
    <row r="22" spans="1:15" x14ac:dyDescent="0.2">
      <c r="A22" s="53" t="s">
        <v>32</v>
      </c>
      <c r="B22" s="54" t="s">
        <v>664</v>
      </c>
      <c r="C22" s="54" t="s">
        <v>665</v>
      </c>
      <c r="D22" s="54" t="s">
        <v>666</v>
      </c>
      <c r="E22" s="54">
        <v>21</v>
      </c>
      <c r="F22" s="54">
        <v>21</v>
      </c>
      <c r="G22" s="54" t="s">
        <v>681</v>
      </c>
      <c r="H22" s="55">
        <v>3500</v>
      </c>
      <c r="I22" s="55">
        <v>3500</v>
      </c>
      <c r="J22" s="55">
        <v>3500</v>
      </c>
      <c r="K22" s="55">
        <f t="shared" ref="K22:K23" si="2">J22-I22</f>
        <v>0</v>
      </c>
      <c r="L22" s="55">
        <v>3500</v>
      </c>
      <c r="M22" s="55">
        <v>3500</v>
      </c>
      <c r="N22" s="56">
        <f t="shared" ref="N22:N23" si="3">M22-L22</f>
        <v>0</v>
      </c>
      <c r="O22" s="827"/>
    </row>
    <row r="23" spans="1:15" x14ac:dyDescent="0.2">
      <c r="A23" s="53" t="s">
        <v>32</v>
      </c>
      <c r="B23" s="54" t="s">
        <v>664</v>
      </c>
      <c r="C23" s="54" t="s">
        <v>665</v>
      </c>
      <c r="D23" s="54" t="s">
        <v>666</v>
      </c>
      <c r="E23" s="54">
        <v>21</v>
      </c>
      <c r="F23" s="54">
        <v>22</v>
      </c>
      <c r="G23" s="54" t="s">
        <v>682</v>
      </c>
      <c r="H23" s="55">
        <v>8100</v>
      </c>
      <c r="I23" s="55">
        <v>8100</v>
      </c>
      <c r="J23" s="55">
        <v>8100</v>
      </c>
      <c r="K23" s="55">
        <f t="shared" si="2"/>
        <v>0</v>
      </c>
      <c r="L23" s="55">
        <v>8100</v>
      </c>
      <c r="M23" s="55">
        <v>8100</v>
      </c>
      <c r="N23" s="56">
        <f t="shared" si="3"/>
        <v>0</v>
      </c>
      <c r="O23" s="827"/>
    </row>
    <row r="24" spans="1:15" x14ac:dyDescent="0.2">
      <c r="A24" s="57" t="s">
        <v>32</v>
      </c>
      <c r="B24" s="58" t="s">
        <v>664</v>
      </c>
      <c r="C24" s="58" t="s">
        <v>665</v>
      </c>
      <c r="D24" s="58" t="s">
        <v>666</v>
      </c>
      <c r="E24" s="58">
        <v>21</v>
      </c>
      <c r="F24" s="58">
        <v>23</v>
      </c>
      <c r="G24" s="58" t="s">
        <v>683</v>
      </c>
      <c r="H24" s="715">
        <v>500</v>
      </c>
      <c r="I24" s="715">
        <v>1000</v>
      </c>
      <c r="J24" s="55">
        <v>1000</v>
      </c>
      <c r="K24" s="55">
        <f t="shared" ref="K24:K28" si="4">J24-I24</f>
        <v>0</v>
      </c>
      <c r="L24" s="715">
        <v>1000</v>
      </c>
      <c r="M24" s="55">
        <v>500</v>
      </c>
      <c r="N24" s="56">
        <f>M24-L24</f>
        <v>-500</v>
      </c>
      <c r="O24" s="828"/>
    </row>
    <row r="25" spans="1:15" x14ac:dyDescent="0.2">
      <c r="A25" s="57" t="s">
        <v>32</v>
      </c>
      <c r="B25" s="58" t="s">
        <v>664</v>
      </c>
      <c r="C25" s="58" t="s">
        <v>665</v>
      </c>
      <c r="D25" s="58" t="s">
        <v>666</v>
      </c>
      <c r="E25" s="58">
        <v>21</v>
      </c>
      <c r="F25" s="58">
        <v>24</v>
      </c>
      <c r="G25" s="58" t="s">
        <v>684</v>
      </c>
      <c r="H25" s="715">
        <v>1025</v>
      </c>
      <c r="I25" s="715">
        <v>1075</v>
      </c>
      <c r="J25" s="55">
        <v>1075</v>
      </c>
      <c r="K25" s="55">
        <f t="shared" si="4"/>
        <v>0</v>
      </c>
      <c r="L25" s="715">
        <v>1075</v>
      </c>
      <c r="M25" s="55">
        <v>1025</v>
      </c>
      <c r="N25" s="56">
        <f t="shared" ref="N25:N29" si="5">M25-L25</f>
        <v>-50</v>
      </c>
      <c r="O25" s="828"/>
    </row>
    <row r="26" spans="1:15" x14ac:dyDescent="0.2">
      <c r="A26" s="57" t="s">
        <v>32</v>
      </c>
      <c r="B26" s="58" t="s">
        <v>664</v>
      </c>
      <c r="C26" s="58" t="s">
        <v>665</v>
      </c>
      <c r="D26" s="58" t="s">
        <v>666</v>
      </c>
      <c r="E26" s="58">
        <v>21</v>
      </c>
      <c r="F26" s="58">
        <v>26</v>
      </c>
      <c r="G26" s="58" t="s">
        <v>685</v>
      </c>
      <c r="H26" s="715">
        <v>2900</v>
      </c>
      <c r="I26" s="715">
        <v>3100</v>
      </c>
      <c r="J26" s="55">
        <v>1800</v>
      </c>
      <c r="K26" s="55">
        <f t="shared" si="4"/>
        <v>-1300</v>
      </c>
      <c r="L26" s="715">
        <v>3100</v>
      </c>
      <c r="M26" s="55">
        <v>2100</v>
      </c>
      <c r="N26" s="56">
        <f t="shared" si="5"/>
        <v>-1000</v>
      </c>
      <c r="O26" s="828"/>
    </row>
    <row r="27" spans="1:15" x14ac:dyDescent="0.2">
      <c r="A27" s="57" t="s">
        <v>32</v>
      </c>
      <c r="B27" s="58" t="s">
        <v>664</v>
      </c>
      <c r="C27" s="58" t="s">
        <v>665</v>
      </c>
      <c r="D27" s="58" t="s">
        <v>666</v>
      </c>
      <c r="E27" s="58">
        <v>21</v>
      </c>
      <c r="F27" s="58">
        <v>27</v>
      </c>
      <c r="G27" s="58" t="s">
        <v>686</v>
      </c>
      <c r="H27" s="715">
        <v>2039602</v>
      </c>
      <c r="I27" s="715">
        <v>2795744</v>
      </c>
      <c r="J27" s="55">
        <v>2831932</v>
      </c>
      <c r="K27" s="55">
        <f t="shared" si="4"/>
        <v>36188</v>
      </c>
      <c r="L27" s="715">
        <v>2795744</v>
      </c>
      <c r="M27" s="55">
        <v>1923385</v>
      </c>
      <c r="N27" s="56">
        <f t="shared" si="5"/>
        <v>-872359</v>
      </c>
      <c r="O27" s="828"/>
    </row>
    <row r="28" spans="1:15" x14ac:dyDescent="0.2">
      <c r="A28" s="57" t="s">
        <v>32</v>
      </c>
      <c r="B28" s="58" t="s">
        <v>664</v>
      </c>
      <c r="C28" s="58" t="s">
        <v>665</v>
      </c>
      <c r="D28" s="58" t="s">
        <v>666</v>
      </c>
      <c r="E28" s="58">
        <v>21</v>
      </c>
      <c r="F28" s="58">
        <v>28</v>
      </c>
      <c r="G28" s="58" t="s">
        <v>687</v>
      </c>
      <c r="H28" s="715">
        <v>21984</v>
      </c>
      <c r="I28" s="715">
        <v>36984</v>
      </c>
      <c r="J28" s="55">
        <v>21984</v>
      </c>
      <c r="K28" s="55">
        <f t="shared" si="4"/>
        <v>-15000</v>
      </c>
      <c r="L28" s="715">
        <v>36984</v>
      </c>
      <c r="M28" s="55">
        <v>22044</v>
      </c>
      <c r="N28" s="56">
        <f t="shared" si="5"/>
        <v>-14940</v>
      </c>
      <c r="O28" s="828"/>
    </row>
    <row r="29" spans="1:15" x14ac:dyDescent="0.2">
      <c r="A29" s="57" t="s">
        <v>32</v>
      </c>
      <c r="B29" s="58" t="s">
        <v>664</v>
      </c>
      <c r="C29" s="58" t="s">
        <v>665</v>
      </c>
      <c r="D29" s="58" t="s">
        <v>666</v>
      </c>
      <c r="E29" s="58">
        <v>21</v>
      </c>
      <c r="F29" s="58">
        <v>29</v>
      </c>
      <c r="G29" s="58" t="s">
        <v>688</v>
      </c>
      <c r="H29" s="715">
        <v>9145</v>
      </c>
      <c r="I29" s="715">
        <v>14700</v>
      </c>
      <c r="J29" s="55">
        <v>7900</v>
      </c>
      <c r="K29" s="55">
        <f>J29-I29</f>
        <v>-6800</v>
      </c>
      <c r="L29" s="715">
        <v>14700</v>
      </c>
      <c r="M29" s="55">
        <v>5817</v>
      </c>
      <c r="N29" s="56">
        <f t="shared" si="5"/>
        <v>-8883</v>
      </c>
      <c r="O29" s="828"/>
    </row>
    <row r="30" spans="1:15" x14ac:dyDescent="0.2">
      <c r="A30" s="57" t="s">
        <v>32</v>
      </c>
      <c r="B30" s="58" t="s">
        <v>664</v>
      </c>
      <c r="C30" s="58" t="s">
        <v>665</v>
      </c>
      <c r="D30" s="58" t="s">
        <v>666</v>
      </c>
      <c r="E30" s="58">
        <v>21</v>
      </c>
      <c r="F30" s="58">
        <v>30</v>
      </c>
      <c r="G30" s="58" t="s">
        <v>689</v>
      </c>
      <c r="H30" s="715">
        <v>1055555</v>
      </c>
      <c r="I30" s="715">
        <v>1143279</v>
      </c>
      <c r="J30" s="55">
        <v>1166112</v>
      </c>
      <c r="K30" s="55">
        <f t="shared" ref="K30:K39" si="6">J30-I30</f>
        <v>22833</v>
      </c>
      <c r="L30" s="715">
        <v>1143279</v>
      </c>
      <c r="M30" s="55">
        <v>1076456</v>
      </c>
      <c r="N30" s="56">
        <f t="shared" ref="N30:N39" si="7">M30-L30</f>
        <v>-66823</v>
      </c>
      <c r="O30" s="829"/>
    </row>
    <row r="31" spans="1:15" x14ac:dyDescent="0.2">
      <c r="A31" s="57" t="s">
        <v>32</v>
      </c>
      <c r="B31" s="58" t="s">
        <v>664</v>
      </c>
      <c r="C31" s="58" t="s">
        <v>665</v>
      </c>
      <c r="D31" s="58" t="s">
        <v>666</v>
      </c>
      <c r="E31" s="58">
        <v>21</v>
      </c>
      <c r="F31" s="58">
        <v>31</v>
      </c>
      <c r="G31" s="58" t="s">
        <v>786</v>
      </c>
      <c r="H31" s="715">
        <v>158045</v>
      </c>
      <c r="I31" s="715">
        <v>202019</v>
      </c>
      <c r="J31" s="55">
        <v>200256</v>
      </c>
      <c r="K31" s="55">
        <f t="shared" si="6"/>
        <v>-1763</v>
      </c>
      <c r="L31" s="715">
        <v>202019</v>
      </c>
      <c r="M31" s="55">
        <v>179466</v>
      </c>
      <c r="N31" s="56">
        <f t="shared" si="7"/>
        <v>-22553</v>
      </c>
      <c r="O31" s="829"/>
    </row>
    <row r="32" spans="1:15" x14ac:dyDescent="0.2">
      <c r="A32" s="57" t="s">
        <v>32</v>
      </c>
      <c r="B32" s="58" t="s">
        <v>664</v>
      </c>
      <c r="C32" s="58" t="s">
        <v>665</v>
      </c>
      <c r="D32" s="58" t="s">
        <v>666</v>
      </c>
      <c r="E32" s="58">
        <v>21</v>
      </c>
      <c r="F32" s="58">
        <v>35</v>
      </c>
      <c r="G32" s="58" t="s">
        <v>787</v>
      </c>
      <c r="H32" s="715">
        <v>2504063</v>
      </c>
      <c r="I32" s="715">
        <v>4171149</v>
      </c>
      <c r="J32" s="55">
        <v>4462435.9937880831</v>
      </c>
      <c r="K32" s="55">
        <f t="shared" si="6"/>
        <v>291286.99378808308</v>
      </c>
      <c r="L32" s="715">
        <v>4171149</v>
      </c>
      <c r="M32" s="55">
        <v>3059310</v>
      </c>
      <c r="N32" s="56">
        <f t="shared" si="7"/>
        <v>-1111839</v>
      </c>
      <c r="O32" s="829"/>
    </row>
    <row r="33" spans="1:15" x14ac:dyDescent="0.2">
      <c r="A33" s="57" t="s">
        <v>32</v>
      </c>
      <c r="B33" s="58" t="s">
        <v>664</v>
      </c>
      <c r="C33" s="58" t="s">
        <v>665</v>
      </c>
      <c r="D33" s="58" t="s">
        <v>666</v>
      </c>
      <c r="E33" s="58">
        <v>21</v>
      </c>
      <c r="F33" s="58">
        <v>52</v>
      </c>
      <c r="G33" s="58" t="s">
        <v>788</v>
      </c>
      <c r="H33" s="715">
        <v>9918</v>
      </c>
      <c r="I33" s="715">
        <v>19836</v>
      </c>
      <c r="J33" s="55">
        <v>19836</v>
      </c>
      <c r="K33" s="55">
        <f t="shared" si="6"/>
        <v>0</v>
      </c>
      <c r="L33" s="715">
        <v>19836</v>
      </c>
      <c r="M33" s="55">
        <v>9918</v>
      </c>
      <c r="N33" s="56">
        <f t="shared" si="7"/>
        <v>-9918</v>
      </c>
      <c r="O33" s="829"/>
    </row>
    <row r="34" spans="1:15" x14ac:dyDescent="0.2">
      <c r="A34" s="57" t="s">
        <v>32</v>
      </c>
      <c r="B34" s="58" t="s">
        <v>664</v>
      </c>
      <c r="C34" s="58" t="s">
        <v>665</v>
      </c>
      <c r="D34" s="58" t="s">
        <v>666</v>
      </c>
      <c r="E34" s="58">
        <v>40</v>
      </c>
      <c r="F34" s="58">
        <v>42</v>
      </c>
      <c r="G34" s="58" t="s">
        <v>789</v>
      </c>
      <c r="H34" s="715">
        <v>16751</v>
      </c>
      <c r="I34" s="715">
        <v>31876</v>
      </c>
      <c r="J34" s="55">
        <v>29018</v>
      </c>
      <c r="K34" s="55">
        <f t="shared" si="6"/>
        <v>-2858</v>
      </c>
      <c r="L34" s="715">
        <v>31462</v>
      </c>
      <c r="M34" s="55">
        <v>17822</v>
      </c>
      <c r="N34" s="56">
        <f t="shared" si="7"/>
        <v>-13640</v>
      </c>
      <c r="O34" s="829"/>
    </row>
    <row r="35" spans="1:15" x14ac:dyDescent="0.2">
      <c r="A35" s="57" t="s">
        <v>32</v>
      </c>
      <c r="B35" s="58" t="s">
        <v>664</v>
      </c>
      <c r="C35" s="58" t="s">
        <v>665</v>
      </c>
      <c r="D35" s="58" t="s">
        <v>666</v>
      </c>
      <c r="E35" s="58">
        <v>40</v>
      </c>
      <c r="F35" s="58">
        <v>45</v>
      </c>
      <c r="G35" s="58" t="s">
        <v>790</v>
      </c>
      <c r="H35" s="715">
        <v>271</v>
      </c>
      <c r="I35" s="715">
        <v>543</v>
      </c>
      <c r="J35" s="55">
        <v>543</v>
      </c>
      <c r="K35" s="55">
        <f t="shared" si="6"/>
        <v>0</v>
      </c>
      <c r="L35" s="715">
        <v>543</v>
      </c>
      <c r="M35" s="55">
        <v>271</v>
      </c>
      <c r="N35" s="56">
        <f t="shared" si="7"/>
        <v>-272</v>
      </c>
      <c r="O35" s="829"/>
    </row>
    <row r="36" spans="1:15" x14ac:dyDescent="0.2">
      <c r="A36" s="57" t="s">
        <v>32</v>
      </c>
      <c r="B36" s="58" t="s">
        <v>664</v>
      </c>
      <c r="C36" s="58" t="s">
        <v>665</v>
      </c>
      <c r="D36" s="58" t="s">
        <v>666</v>
      </c>
      <c r="E36" s="58">
        <v>40</v>
      </c>
      <c r="F36" s="58">
        <v>46</v>
      </c>
      <c r="G36" s="58" t="s">
        <v>791</v>
      </c>
      <c r="H36" s="715">
        <v>676</v>
      </c>
      <c r="I36" s="715">
        <v>1571</v>
      </c>
      <c r="J36" s="55">
        <v>1571</v>
      </c>
      <c r="K36" s="55">
        <f t="shared" si="6"/>
        <v>0</v>
      </c>
      <c r="L36" s="715">
        <v>1571</v>
      </c>
      <c r="M36" s="55">
        <v>786</v>
      </c>
      <c r="N36" s="56">
        <f t="shared" si="7"/>
        <v>-785</v>
      </c>
      <c r="O36" s="829"/>
    </row>
    <row r="37" spans="1:15" x14ac:dyDescent="0.2">
      <c r="A37" s="57" t="s">
        <v>32</v>
      </c>
      <c r="B37" s="58" t="s">
        <v>664</v>
      </c>
      <c r="C37" s="58" t="s">
        <v>665</v>
      </c>
      <c r="D37" s="58" t="s">
        <v>666</v>
      </c>
      <c r="E37" s="58">
        <v>40</v>
      </c>
      <c r="F37" s="58">
        <v>49</v>
      </c>
      <c r="G37" s="58" t="s">
        <v>792</v>
      </c>
      <c r="H37" s="715">
        <v>363099</v>
      </c>
      <c r="I37" s="715">
        <v>261921</v>
      </c>
      <c r="J37" s="55">
        <v>203814</v>
      </c>
      <c r="K37" s="55">
        <f t="shared" si="6"/>
        <v>-58107</v>
      </c>
      <c r="L37" s="715">
        <v>261921</v>
      </c>
      <c r="M37" s="55">
        <v>247779.45599999998</v>
      </c>
      <c r="N37" s="56">
        <f t="shared" si="7"/>
        <v>-14141.544000000024</v>
      </c>
      <c r="O37" s="829"/>
    </row>
    <row r="38" spans="1:15" x14ac:dyDescent="0.2">
      <c r="A38" s="57" t="s">
        <v>32</v>
      </c>
      <c r="B38" s="58" t="s">
        <v>664</v>
      </c>
      <c r="C38" s="58" t="s">
        <v>665</v>
      </c>
      <c r="D38" s="58" t="s">
        <v>666</v>
      </c>
      <c r="E38" s="58">
        <v>60</v>
      </c>
      <c r="F38" s="58">
        <v>60</v>
      </c>
      <c r="G38" s="58" t="s">
        <v>793</v>
      </c>
      <c r="H38" s="715">
        <v>29838</v>
      </c>
      <c r="I38" s="715">
        <v>0</v>
      </c>
      <c r="J38" s="55">
        <v>44587.5</v>
      </c>
      <c r="K38" s="55">
        <f>J38-I38</f>
        <v>44587.5</v>
      </c>
      <c r="L38" s="715">
        <v>0</v>
      </c>
      <c r="M38" s="55">
        <v>44587.5</v>
      </c>
      <c r="N38" s="56">
        <f t="shared" si="7"/>
        <v>44587.5</v>
      </c>
      <c r="O38" s="829"/>
    </row>
    <row r="39" spans="1:15" ht="15" thickBot="1" x14ac:dyDescent="0.25">
      <c r="A39" s="59" t="s">
        <v>32</v>
      </c>
      <c r="B39" s="60" t="s">
        <v>664</v>
      </c>
      <c r="C39" s="60" t="s">
        <v>665</v>
      </c>
      <c r="D39" s="60" t="s">
        <v>666</v>
      </c>
      <c r="E39" s="60">
        <v>60</v>
      </c>
      <c r="F39" s="60">
        <v>64</v>
      </c>
      <c r="G39" s="60" t="s">
        <v>794</v>
      </c>
      <c r="H39" s="62">
        <v>0</v>
      </c>
      <c r="I39" s="62">
        <v>0</v>
      </c>
      <c r="J39" s="61"/>
      <c r="K39" s="62">
        <f t="shared" si="6"/>
        <v>0</v>
      </c>
      <c r="L39" s="62">
        <v>0</v>
      </c>
      <c r="M39" s="62"/>
      <c r="N39" s="774">
        <f t="shared" si="7"/>
        <v>0</v>
      </c>
      <c r="O39" s="814"/>
    </row>
    <row r="40" spans="1:15" s="65" customFormat="1" x14ac:dyDescent="0.2">
      <c r="A40" s="63"/>
      <c r="B40" s="64"/>
      <c r="C40" s="64"/>
      <c r="I40" s="64"/>
    </row>
    <row r="41" spans="1:15" s="65" customFormat="1" x14ac:dyDescent="0.2">
      <c r="A41" s="63"/>
      <c r="B41" s="64"/>
      <c r="C41" s="64"/>
      <c r="I41" s="64"/>
    </row>
    <row r="42" spans="1:15" s="65" customFormat="1" ht="15" thickBot="1" x14ac:dyDescent="0.25">
      <c r="A42" s="63"/>
      <c r="B42" s="64"/>
      <c r="C42" s="64"/>
      <c r="I42" s="64"/>
    </row>
    <row r="43" spans="1:15" ht="15" x14ac:dyDescent="0.25">
      <c r="A43" s="44" t="s">
        <v>46</v>
      </c>
      <c r="B43" s="45"/>
      <c r="C43" s="45"/>
      <c r="D43" s="45"/>
      <c r="E43" s="45"/>
      <c r="F43" s="45"/>
      <c r="G43" s="45"/>
      <c r="H43" s="45"/>
      <c r="I43" s="45"/>
      <c r="J43" s="46" t="s">
        <v>31</v>
      </c>
      <c r="K43" s="45"/>
      <c r="L43" s="45"/>
      <c r="M43" s="46" t="s">
        <v>31</v>
      </c>
      <c r="N43" s="45"/>
      <c r="O43" s="47" t="s">
        <v>31</v>
      </c>
    </row>
    <row r="44" spans="1:15" s="52" customFormat="1" ht="53.25" customHeight="1" thickBot="1" x14ac:dyDescent="0.25">
      <c r="A44" s="48" t="s">
        <v>32</v>
      </c>
      <c r="B44" s="49" t="s">
        <v>33</v>
      </c>
      <c r="C44" s="49" t="s">
        <v>34</v>
      </c>
      <c r="D44" s="50" t="s">
        <v>5</v>
      </c>
      <c r="E44" s="49" t="s">
        <v>35</v>
      </c>
      <c r="F44" s="50" t="s">
        <v>47</v>
      </c>
      <c r="G44" s="50" t="s">
        <v>48</v>
      </c>
      <c r="H44" s="49" t="s">
        <v>38</v>
      </c>
      <c r="I44" s="49" t="s">
        <v>39</v>
      </c>
      <c r="J44" s="49" t="s">
        <v>40</v>
      </c>
      <c r="K44" s="49" t="s">
        <v>41</v>
      </c>
      <c r="L44" s="49" t="s">
        <v>42</v>
      </c>
      <c r="M44" s="49" t="s">
        <v>43</v>
      </c>
      <c r="N44" s="49" t="s">
        <v>44</v>
      </c>
      <c r="O44" s="51" t="s">
        <v>45</v>
      </c>
    </row>
    <row r="45" spans="1:15" x14ac:dyDescent="0.2">
      <c r="A45" s="66" t="s">
        <v>32</v>
      </c>
      <c r="B45" s="67" t="s">
        <v>664</v>
      </c>
      <c r="C45" s="67" t="s">
        <v>665</v>
      </c>
      <c r="D45" s="67" t="s">
        <v>666</v>
      </c>
      <c r="E45" s="67">
        <v>81</v>
      </c>
      <c r="F45" s="67" t="s">
        <v>690</v>
      </c>
      <c r="G45" s="67" t="s">
        <v>691</v>
      </c>
      <c r="H45" s="68">
        <v>2356</v>
      </c>
      <c r="I45" s="68">
        <v>2356</v>
      </c>
      <c r="J45" s="68">
        <v>2356</v>
      </c>
      <c r="K45" s="68">
        <f>J45-I45</f>
        <v>0</v>
      </c>
      <c r="L45" s="68">
        <v>2356</v>
      </c>
      <c r="M45" s="56">
        <f>H45+(H45*0.1)</f>
        <v>2591.6</v>
      </c>
      <c r="N45" s="69">
        <f>M45-L45</f>
        <v>235.59999999999991</v>
      </c>
      <c r="O45" s="70"/>
    </row>
    <row r="46" spans="1:15" x14ac:dyDescent="0.2">
      <c r="A46" s="66" t="s">
        <v>32</v>
      </c>
      <c r="B46" s="67" t="s">
        <v>664</v>
      </c>
      <c r="C46" s="67" t="s">
        <v>665</v>
      </c>
      <c r="D46" s="67" t="s">
        <v>666</v>
      </c>
      <c r="E46" s="67">
        <v>81</v>
      </c>
      <c r="F46" s="67" t="s">
        <v>692</v>
      </c>
      <c r="G46" s="67" t="s">
        <v>693</v>
      </c>
      <c r="H46" s="68">
        <v>196000</v>
      </c>
      <c r="I46" s="68">
        <v>196000</v>
      </c>
      <c r="J46" s="68">
        <v>196000</v>
      </c>
      <c r="K46" s="68">
        <f t="shared" ref="K46:K57" si="8">J46-I46</f>
        <v>0</v>
      </c>
      <c r="L46" s="68">
        <v>196000</v>
      </c>
      <c r="M46" s="56">
        <f t="shared" ref="M46:M61" si="9">H46+(H46*0.1)</f>
        <v>215600</v>
      </c>
      <c r="N46" s="69">
        <f t="shared" ref="N46:N57" si="10">M46-L46</f>
        <v>19600</v>
      </c>
      <c r="O46" s="70"/>
    </row>
    <row r="47" spans="1:15" x14ac:dyDescent="0.2">
      <c r="A47" s="66" t="s">
        <v>32</v>
      </c>
      <c r="B47" s="67" t="s">
        <v>664</v>
      </c>
      <c r="C47" s="67" t="s">
        <v>665</v>
      </c>
      <c r="D47" s="67" t="s">
        <v>666</v>
      </c>
      <c r="E47" s="67">
        <v>81</v>
      </c>
      <c r="F47" s="67" t="s">
        <v>694</v>
      </c>
      <c r="G47" s="67" t="s">
        <v>695</v>
      </c>
      <c r="H47" s="68">
        <v>32557</v>
      </c>
      <c r="I47" s="68">
        <v>34764</v>
      </c>
      <c r="J47" s="68">
        <v>34764</v>
      </c>
      <c r="K47" s="68">
        <f t="shared" si="8"/>
        <v>0</v>
      </c>
      <c r="L47" s="68">
        <v>32557</v>
      </c>
      <c r="M47" s="56">
        <f t="shared" si="9"/>
        <v>35812.699999999997</v>
      </c>
      <c r="N47" s="69">
        <f t="shared" si="10"/>
        <v>3255.6999999999971</v>
      </c>
      <c r="O47" s="70"/>
    </row>
    <row r="48" spans="1:15" x14ac:dyDescent="0.2">
      <c r="A48" s="66" t="s">
        <v>32</v>
      </c>
      <c r="B48" s="67" t="s">
        <v>664</v>
      </c>
      <c r="C48" s="67" t="s">
        <v>665</v>
      </c>
      <c r="D48" s="67" t="s">
        <v>666</v>
      </c>
      <c r="E48" s="67">
        <v>81</v>
      </c>
      <c r="F48" s="67" t="s">
        <v>696</v>
      </c>
      <c r="G48" s="67" t="s">
        <v>697</v>
      </c>
      <c r="H48" s="68">
        <v>96077</v>
      </c>
      <c r="I48" s="68">
        <v>95434</v>
      </c>
      <c r="J48" s="68">
        <v>95434</v>
      </c>
      <c r="K48" s="68">
        <f t="shared" si="8"/>
        <v>0</v>
      </c>
      <c r="L48" s="68">
        <v>96077</v>
      </c>
      <c r="M48" s="56">
        <f t="shared" si="9"/>
        <v>105684.7</v>
      </c>
      <c r="N48" s="69">
        <f t="shared" si="10"/>
        <v>9607.6999999999971</v>
      </c>
      <c r="O48" s="70"/>
    </row>
    <row r="49" spans="1:15" x14ac:dyDescent="0.2">
      <c r="A49" s="66" t="s">
        <v>32</v>
      </c>
      <c r="B49" s="67" t="s">
        <v>664</v>
      </c>
      <c r="C49" s="67" t="s">
        <v>665</v>
      </c>
      <c r="D49" s="67" t="s">
        <v>666</v>
      </c>
      <c r="E49" s="67">
        <v>81</v>
      </c>
      <c r="F49" s="67" t="s">
        <v>698</v>
      </c>
      <c r="G49" s="67" t="s">
        <v>699</v>
      </c>
      <c r="H49" s="68">
        <v>43214</v>
      </c>
      <c r="I49" s="68">
        <v>43286</v>
      </c>
      <c r="J49" s="68">
        <v>43286</v>
      </c>
      <c r="K49" s="68">
        <f t="shared" si="8"/>
        <v>0</v>
      </c>
      <c r="L49" s="68">
        <v>43214</v>
      </c>
      <c r="M49" s="56">
        <f t="shared" si="9"/>
        <v>47535.4</v>
      </c>
      <c r="N49" s="69">
        <f t="shared" si="10"/>
        <v>4321.4000000000015</v>
      </c>
      <c r="O49" s="70"/>
    </row>
    <row r="50" spans="1:15" x14ac:dyDescent="0.2">
      <c r="A50" s="66" t="s">
        <v>32</v>
      </c>
      <c r="B50" s="67" t="s">
        <v>664</v>
      </c>
      <c r="C50" s="67" t="s">
        <v>665</v>
      </c>
      <c r="D50" s="67" t="s">
        <v>666</v>
      </c>
      <c r="E50" s="67">
        <v>81</v>
      </c>
      <c r="F50" s="67" t="s">
        <v>700</v>
      </c>
      <c r="G50" s="67" t="s">
        <v>701</v>
      </c>
      <c r="H50" s="68">
        <v>22000</v>
      </c>
      <c r="I50" s="68">
        <v>22000</v>
      </c>
      <c r="J50" s="68">
        <v>22000</v>
      </c>
      <c r="K50" s="68">
        <f t="shared" si="8"/>
        <v>0</v>
      </c>
      <c r="L50" s="68">
        <v>22000</v>
      </c>
      <c r="M50" s="56">
        <f t="shared" si="9"/>
        <v>24200</v>
      </c>
      <c r="N50" s="69">
        <f t="shared" si="10"/>
        <v>2200</v>
      </c>
      <c r="O50" s="70"/>
    </row>
    <row r="51" spans="1:15" x14ac:dyDescent="0.2">
      <c r="A51" s="66" t="s">
        <v>32</v>
      </c>
      <c r="B51" s="67" t="s">
        <v>664</v>
      </c>
      <c r="C51" s="67" t="s">
        <v>665</v>
      </c>
      <c r="D51" s="67" t="s">
        <v>666</v>
      </c>
      <c r="E51" s="67">
        <v>81</v>
      </c>
      <c r="F51" s="67" t="s">
        <v>702</v>
      </c>
      <c r="G51" s="67" t="s">
        <v>703</v>
      </c>
      <c r="H51" s="68">
        <v>90000</v>
      </c>
      <c r="I51" s="68">
        <v>90000</v>
      </c>
      <c r="J51" s="68">
        <v>90000</v>
      </c>
      <c r="K51" s="68">
        <f t="shared" si="8"/>
        <v>0</v>
      </c>
      <c r="L51" s="68">
        <v>90000</v>
      </c>
      <c r="M51" s="56">
        <f t="shared" si="9"/>
        <v>99000</v>
      </c>
      <c r="N51" s="69">
        <f t="shared" si="10"/>
        <v>9000</v>
      </c>
      <c r="O51" s="70"/>
    </row>
    <row r="52" spans="1:15" x14ac:dyDescent="0.2">
      <c r="A52" s="66" t="s">
        <v>32</v>
      </c>
      <c r="B52" s="67" t="s">
        <v>664</v>
      </c>
      <c r="C52" s="67" t="s">
        <v>665</v>
      </c>
      <c r="D52" s="67" t="s">
        <v>666</v>
      </c>
      <c r="E52" s="67">
        <v>81</v>
      </c>
      <c r="F52" s="67" t="s">
        <v>704</v>
      </c>
      <c r="G52" s="67" t="s">
        <v>705</v>
      </c>
      <c r="H52" s="68">
        <v>12600</v>
      </c>
      <c r="I52" s="68">
        <v>12600</v>
      </c>
      <c r="J52" s="68">
        <v>12600</v>
      </c>
      <c r="K52" s="68">
        <f t="shared" si="8"/>
        <v>0</v>
      </c>
      <c r="L52" s="68">
        <v>12600</v>
      </c>
      <c r="M52" s="56">
        <f t="shared" si="9"/>
        <v>13860</v>
      </c>
      <c r="N52" s="69">
        <f t="shared" si="10"/>
        <v>1260</v>
      </c>
      <c r="O52" s="70"/>
    </row>
    <row r="53" spans="1:15" x14ac:dyDescent="0.2">
      <c r="A53" s="66" t="s">
        <v>32</v>
      </c>
      <c r="B53" s="67" t="s">
        <v>664</v>
      </c>
      <c r="C53" s="67" t="s">
        <v>665</v>
      </c>
      <c r="D53" s="67" t="s">
        <v>666</v>
      </c>
      <c r="E53" s="67">
        <v>81</v>
      </c>
      <c r="F53" s="67" t="s">
        <v>706</v>
      </c>
      <c r="G53" s="67" t="s">
        <v>707</v>
      </c>
      <c r="H53" s="68">
        <v>2840</v>
      </c>
      <c r="I53" s="68">
        <v>2897</v>
      </c>
      <c r="J53" s="68">
        <v>2897</v>
      </c>
      <c r="K53" s="68">
        <f t="shared" si="8"/>
        <v>0</v>
      </c>
      <c r="L53" s="68">
        <v>2840</v>
      </c>
      <c r="M53" s="56">
        <f t="shared" si="9"/>
        <v>3124</v>
      </c>
      <c r="N53" s="69">
        <f t="shared" si="10"/>
        <v>284</v>
      </c>
      <c r="O53" s="70"/>
    </row>
    <row r="54" spans="1:15" x14ac:dyDescent="0.2">
      <c r="A54" s="66" t="s">
        <v>32</v>
      </c>
      <c r="B54" s="67" t="s">
        <v>664</v>
      </c>
      <c r="C54" s="67" t="s">
        <v>665</v>
      </c>
      <c r="D54" s="67" t="s">
        <v>666</v>
      </c>
      <c r="E54" s="67">
        <v>81</v>
      </c>
      <c r="F54" s="67" t="s">
        <v>708</v>
      </c>
      <c r="G54" s="67" t="s">
        <v>709</v>
      </c>
      <c r="H54" s="68">
        <v>5384</v>
      </c>
      <c r="I54" s="68">
        <v>5384</v>
      </c>
      <c r="J54" s="68">
        <v>5384</v>
      </c>
      <c r="K54" s="68">
        <f t="shared" si="8"/>
        <v>0</v>
      </c>
      <c r="L54" s="68">
        <v>5384</v>
      </c>
      <c r="M54" s="56">
        <f t="shared" si="9"/>
        <v>5922.4</v>
      </c>
      <c r="N54" s="69">
        <f t="shared" si="10"/>
        <v>538.39999999999964</v>
      </c>
      <c r="O54" s="70"/>
    </row>
    <row r="55" spans="1:15" x14ac:dyDescent="0.2">
      <c r="A55" s="66" t="s">
        <v>32</v>
      </c>
      <c r="B55" s="67" t="s">
        <v>664</v>
      </c>
      <c r="C55" s="67" t="s">
        <v>665</v>
      </c>
      <c r="D55" s="67" t="s">
        <v>666</v>
      </c>
      <c r="E55" s="67">
        <v>81</v>
      </c>
      <c r="F55" s="67" t="s">
        <v>710</v>
      </c>
      <c r="G55" s="67" t="s">
        <v>711</v>
      </c>
      <c r="H55" s="68">
        <v>7584</v>
      </c>
      <c r="I55" s="68">
        <v>7921</v>
      </c>
      <c r="J55" s="68">
        <v>7921</v>
      </c>
      <c r="K55" s="68">
        <f t="shared" si="8"/>
        <v>0</v>
      </c>
      <c r="L55" s="68">
        <v>7584</v>
      </c>
      <c r="M55" s="56">
        <f t="shared" si="9"/>
        <v>8342.4</v>
      </c>
      <c r="N55" s="69">
        <f t="shared" si="10"/>
        <v>758.39999999999964</v>
      </c>
      <c r="O55" s="70"/>
    </row>
    <row r="56" spans="1:15" x14ac:dyDescent="0.2">
      <c r="A56" s="66" t="s">
        <v>32</v>
      </c>
      <c r="B56" s="67" t="s">
        <v>664</v>
      </c>
      <c r="C56" s="67" t="s">
        <v>665</v>
      </c>
      <c r="D56" s="67" t="s">
        <v>666</v>
      </c>
      <c r="E56" s="67">
        <v>81</v>
      </c>
      <c r="F56" s="67" t="s">
        <v>712</v>
      </c>
      <c r="G56" s="67" t="s">
        <v>713</v>
      </c>
      <c r="H56" s="68">
        <v>45151</v>
      </c>
      <c r="I56" s="68">
        <v>70000</v>
      </c>
      <c r="J56" s="68">
        <v>70000</v>
      </c>
      <c r="K56" s="68">
        <f t="shared" si="8"/>
        <v>0</v>
      </c>
      <c r="L56" s="68">
        <v>45151</v>
      </c>
      <c r="M56" s="56">
        <f t="shared" si="9"/>
        <v>49666.1</v>
      </c>
      <c r="N56" s="69">
        <f t="shared" si="10"/>
        <v>4515.0999999999985</v>
      </c>
      <c r="O56" s="802"/>
    </row>
    <row r="57" spans="1:15" x14ac:dyDescent="0.2">
      <c r="A57" s="66" t="s">
        <v>32</v>
      </c>
      <c r="B57" s="67" t="s">
        <v>664</v>
      </c>
      <c r="C57" s="67" t="s">
        <v>665</v>
      </c>
      <c r="D57" s="67" t="s">
        <v>666</v>
      </c>
      <c r="E57" s="67">
        <v>81</v>
      </c>
      <c r="F57" s="67" t="s">
        <v>714</v>
      </c>
      <c r="G57" s="67" t="s">
        <v>715</v>
      </c>
      <c r="H57" s="68">
        <v>47500</v>
      </c>
      <c r="I57" s="55">
        <v>34000</v>
      </c>
      <c r="J57" s="68">
        <v>65000</v>
      </c>
      <c r="K57" s="68">
        <f t="shared" si="8"/>
        <v>31000</v>
      </c>
      <c r="L57" s="68">
        <v>47500</v>
      </c>
      <c r="M57" s="56">
        <f t="shared" si="9"/>
        <v>52250</v>
      </c>
      <c r="N57" s="69">
        <f t="shared" si="10"/>
        <v>4750</v>
      </c>
      <c r="O57" s="802"/>
    </row>
    <row r="58" spans="1:15" x14ac:dyDescent="0.2">
      <c r="A58" s="71" t="s">
        <v>32</v>
      </c>
      <c r="B58" s="72" t="s">
        <v>664</v>
      </c>
      <c r="C58" s="72" t="s">
        <v>665</v>
      </c>
      <c r="D58" s="72" t="s">
        <v>666</v>
      </c>
      <c r="E58" s="72">
        <v>81</v>
      </c>
      <c r="F58" s="72" t="s">
        <v>716</v>
      </c>
      <c r="G58" s="72" t="s">
        <v>717</v>
      </c>
      <c r="H58" s="716">
        <v>45000</v>
      </c>
      <c r="I58" s="716">
        <v>65608</v>
      </c>
      <c r="J58" s="716">
        <v>65608</v>
      </c>
      <c r="K58" s="68">
        <f t="shared" ref="K58:K63" si="11">J58-I58</f>
        <v>0</v>
      </c>
      <c r="L58" s="716">
        <v>45000</v>
      </c>
      <c r="M58" s="56">
        <f t="shared" si="9"/>
        <v>49500</v>
      </c>
      <c r="N58" s="69">
        <f t="shared" ref="N58:N63" si="12">M58-L58</f>
        <v>4500</v>
      </c>
      <c r="O58" s="802"/>
    </row>
    <row r="59" spans="1:15" x14ac:dyDescent="0.2">
      <c r="A59" s="71" t="s">
        <v>32</v>
      </c>
      <c r="B59" s="72" t="s">
        <v>664</v>
      </c>
      <c r="C59" s="72" t="s">
        <v>665</v>
      </c>
      <c r="D59" s="72" t="s">
        <v>666</v>
      </c>
      <c r="E59" s="72">
        <v>81</v>
      </c>
      <c r="F59" s="72" t="s">
        <v>718</v>
      </c>
      <c r="G59" s="72" t="s">
        <v>719</v>
      </c>
      <c r="H59" s="716">
        <v>233818</v>
      </c>
      <c r="I59" s="716">
        <v>343534</v>
      </c>
      <c r="J59" s="716">
        <v>343534</v>
      </c>
      <c r="K59" s="68">
        <f t="shared" si="11"/>
        <v>0</v>
      </c>
      <c r="L59" s="716">
        <v>233818</v>
      </c>
      <c r="M59" s="56">
        <f t="shared" si="9"/>
        <v>257199.8</v>
      </c>
      <c r="N59" s="69">
        <f t="shared" si="12"/>
        <v>23381.799999999988</v>
      </c>
      <c r="O59" s="802"/>
    </row>
    <row r="60" spans="1:15" x14ac:dyDescent="0.2">
      <c r="A60" s="71" t="s">
        <v>32</v>
      </c>
      <c r="B60" s="72" t="s">
        <v>664</v>
      </c>
      <c r="C60" s="72" t="s">
        <v>665</v>
      </c>
      <c r="D60" s="72" t="s">
        <v>666</v>
      </c>
      <c r="E60" s="72">
        <v>81</v>
      </c>
      <c r="F60" s="72" t="s">
        <v>720</v>
      </c>
      <c r="G60" s="72" t="s">
        <v>721</v>
      </c>
      <c r="H60" s="716">
        <v>2093</v>
      </c>
      <c r="I60" s="716">
        <v>2339</v>
      </c>
      <c r="J60" s="716">
        <v>2339</v>
      </c>
      <c r="K60" s="68">
        <f t="shared" si="11"/>
        <v>0</v>
      </c>
      <c r="L60" s="716">
        <v>2093</v>
      </c>
      <c r="M60" s="56">
        <f t="shared" si="9"/>
        <v>2302.3000000000002</v>
      </c>
      <c r="N60" s="69">
        <f t="shared" si="12"/>
        <v>209.30000000000018</v>
      </c>
      <c r="O60" s="802"/>
    </row>
    <row r="61" spans="1:15" x14ac:dyDescent="0.2">
      <c r="A61" s="71" t="s">
        <v>32</v>
      </c>
      <c r="B61" s="72" t="s">
        <v>664</v>
      </c>
      <c r="C61" s="72" t="s">
        <v>665</v>
      </c>
      <c r="D61" s="72" t="s">
        <v>666</v>
      </c>
      <c r="E61" s="72">
        <v>81</v>
      </c>
      <c r="F61" s="72" t="s">
        <v>722</v>
      </c>
      <c r="G61" s="72" t="s">
        <v>723</v>
      </c>
      <c r="H61" s="716">
        <v>10500</v>
      </c>
      <c r="I61" s="716">
        <v>10500</v>
      </c>
      <c r="J61" s="716">
        <v>10500</v>
      </c>
      <c r="K61" s="68">
        <f t="shared" si="11"/>
        <v>0</v>
      </c>
      <c r="L61" s="716">
        <v>10500</v>
      </c>
      <c r="M61" s="56">
        <f t="shared" si="9"/>
        <v>11550</v>
      </c>
      <c r="N61" s="69">
        <f t="shared" si="12"/>
        <v>1050</v>
      </c>
      <c r="O61" s="802"/>
    </row>
    <row r="62" spans="1:15" x14ac:dyDescent="0.2">
      <c r="A62" s="71" t="s">
        <v>32</v>
      </c>
      <c r="B62" s="72" t="s">
        <v>664</v>
      </c>
      <c r="C62" s="72" t="s">
        <v>665</v>
      </c>
      <c r="D62" s="72" t="s">
        <v>666</v>
      </c>
      <c r="E62" s="72">
        <v>86</v>
      </c>
      <c r="F62" s="72" t="s">
        <v>724</v>
      </c>
      <c r="G62" s="72" t="s">
        <v>725</v>
      </c>
      <c r="H62" s="716">
        <v>0</v>
      </c>
      <c r="I62" s="716">
        <v>0</v>
      </c>
      <c r="J62" s="73"/>
      <c r="K62" s="68">
        <f t="shared" si="11"/>
        <v>0</v>
      </c>
      <c r="L62" s="716">
        <v>0</v>
      </c>
      <c r="M62" s="74"/>
      <c r="N62" s="69">
        <f t="shared" si="12"/>
        <v>0</v>
      </c>
      <c r="O62" s="75"/>
    </row>
    <row r="63" spans="1:15" x14ac:dyDescent="0.2">
      <c r="A63" s="71" t="s">
        <v>32</v>
      </c>
      <c r="B63" s="72" t="s">
        <v>664</v>
      </c>
      <c r="C63" s="72" t="s">
        <v>665</v>
      </c>
      <c r="D63" s="72" t="s">
        <v>666</v>
      </c>
      <c r="E63" s="72">
        <v>86</v>
      </c>
      <c r="F63" s="72" t="s">
        <v>726</v>
      </c>
      <c r="G63" s="72" t="s">
        <v>727</v>
      </c>
      <c r="H63" s="716">
        <v>0</v>
      </c>
      <c r="I63" s="716">
        <v>-70000</v>
      </c>
      <c r="J63" s="73"/>
      <c r="K63" s="68">
        <f t="shared" si="11"/>
        <v>70000</v>
      </c>
      <c r="L63" s="716">
        <v>0</v>
      </c>
      <c r="M63" s="56">
        <v>-52000</v>
      </c>
      <c r="N63" s="69">
        <f t="shared" si="12"/>
        <v>-52000</v>
      </c>
      <c r="O63" s="75"/>
    </row>
    <row r="64" spans="1:15" x14ac:dyDescent="0.2">
      <c r="A64" s="718" t="s">
        <v>32</v>
      </c>
      <c r="B64" s="72" t="s">
        <v>664</v>
      </c>
      <c r="C64" s="72" t="s">
        <v>665</v>
      </c>
      <c r="D64" s="72" t="s">
        <v>666</v>
      </c>
      <c r="E64" s="72">
        <v>86</v>
      </c>
      <c r="F64" s="72" t="s">
        <v>728</v>
      </c>
      <c r="G64" s="72" t="s">
        <v>729</v>
      </c>
      <c r="H64" s="716">
        <v>-82000</v>
      </c>
      <c r="I64" s="716">
        <v>-82000</v>
      </c>
      <c r="J64" s="73"/>
      <c r="K64" s="68">
        <f t="shared" ref="K64:K65" si="13">J64-I64</f>
        <v>82000</v>
      </c>
      <c r="L64" s="716">
        <v>0</v>
      </c>
      <c r="M64" s="56">
        <v>-52000</v>
      </c>
      <c r="N64" s="69">
        <f t="shared" ref="N64:N67" si="14">M64-L64</f>
        <v>-52000</v>
      </c>
      <c r="O64" s="75"/>
    </row>
    <row r="65" spans="1:15" x14ac:dyDescent="0.2">
      <c r="A65" s="718" t="s">
        <v>32</v>
      </c>
      <c r="B65" s="72" t="s">
        <v>664</v>
      </c>
      <c r="C65" s="72" t="s">
        <v>665</v>
      </c>
      <c r="D65" s="72" t="s">
        <v>666</v>
      </c>
      <c r="E65" s="72"/>
      <c r="F65" s="72" t="s">
        <v>731</v>
      </c>
      <c r="G65" s="72" t="s">
        <v>732</v>
      </c>
      <c r="H65" s="716">
        <v>-450608</v>
      </c>
      <c r="I65" s="716">
        <v>0</v>
      </c>
      <c r="J65" s="776"/>
      <c r="K65" s="777">
        <f t="shared" si="13"/>
        <v>0</v>
      </c>
      <c r="L65" s="716">
        <v>0</v>
      </c>
      <c r="M65" s="56">
        <v>-351060</v>
      </c>
      <c r="N65" s="69">
        <f t="shared" si="14"/>
        <v>-351060</v>
      </c>
      <c r="O65" s="75"/>
    </row>
    <row r="66" spans="1:15" x14ac:dyDescent="0.2">
      <c r="A66" s="775" t="s">
        <v>32</v>
      </c>
      <c r="B66" s="816" t="s">
        <v>664</v>
      </c>
      <c r="C66" s="816" t="s">
        <v>665</v>
      </c>
      <c r="D66" s="816" t="s">
        <v>666</v>
      </c>
      <c r="E66" s="816"/>
      <c r="F66" s="816" t="s">
        <v>733</v>
      </c>
      <c r="G66" s="816" t="s">
        <v>734</v>
      </c>
      <c r="H66" s="716"/>
      <c r="I66" s="716"/>
      <c r="J66" s="778"/>
      <c r="K66" s="779"/>
      <c r="L66" s="716"/>
      <c r="M66" s="56"/>
      <c r="N66" s="69"/>
      <c r="O66" s="719"/>
    </row>
    <row r="67" spans="1:15" ht="15" thickBot="1" x14ac:dyDescent="0.25">
      <c r="A67" s="76" t="s">
        <v>32</v>
      </c>
      <c r="B67" s="77" t="s">
        <v>664</v>
      </c>
      <c r="C67" s="77" t="s">
        <v>665</v>
      </c>
      <c r="D67" s="77" t="s">
        <v>666</v>
      </c>
      <c r="E67" s="77"/>
      <c r="F67" s="77" t="s">
        <v>735</v>
      </c>
      <c r="G67" s="77" t="s">
        <v>736</v>
      </c>
      <c r="H67" s="78">
        <v>-277184</v>
      </c>
      <c r="I67" s="78">
        <v>0</v>
      </c>
      <c r="J67" s="780"/>
      <c r="K67" s="780"/>
      <c r="L67" s="78">
        <v>0</v>
      </c>
      <c r="M67" s="774">
        <v>-284219</v>
      </c>
      <c r="N67" s="781">
        <f t="shared" si="14"/>
        <v>-284219</v>
      </c>
      <c r="O67" s="79"/>
    </row>
    <row r="68" spans="1:15" x14ac:dyDescent="0.2">
      <c r="A68" s="42"/>
      <c r="B68" s="43"/>
      <c r="C68" s="43"/>
      <c r="D68" s="39"/>
      <c r="E68" s="39"/>
      <c r="I68" s="43"/>
    </row>
    <row r="69" spans="1:15" ht="15" x14ac:dyDescent="0.25">
      <c r="A69" s="35"/>
      <c r="C69" s="80"/>
    </row>
  </sheetData>
  <pageMargins left="0.16" right="0.16" top="1" bottom="1" header="0.5" footer="0.5"/>
  <pageSetup paperSize="17" scale="92" fitToHeight="0" orientation="landscape" r:id="rId1"/>
  <headerFooter alignWithMargins="0"/>
  <ignoredErrors>
    <ignoredError sqref="F6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9"/>
  <sheetViews>
    <sheetView zoomScaleNormal="100" zoomScaleSheetLayoutView="70" workbookViewId="0">
      <selection activeCell="AJ3" sqref="AJ3"/>
    </sheetView>
  </sheetViews>
  <sheetFormatPr defaultRowHeight="12.75" x14ac:dyDescent="0.2"/>
  <cols>
    <col min="1" max="1" width="12.85546875" style="81" bestFit="1" customWidth="1"/>
    <col min="2" max="2" width="12.42578125" style="146" customWidth="1"/>
    <col min="3" max="3" width="9.140625" style="81" bestFit="1" customWidth="1"/>
    <col min="4" max="4" width="8.85546875" style="81" bestFit="1" customWidth="1"/>
    <col min="5" max="5" width="11.42578125" style="148" bestFit="1" customWidth="1"/>
    <col min="6" max="6" width="12" style="83" bestFit="1" customWidth="1"/>
    <col min="7" max="7" width="14" style="81" hidden="1" customWidth="1"/>
    <col min="8" max="8" width="11.5703125" style="81" hidden="1" customWidth="1"/>
    <col min="9" max="28" width="11" style="81" hidden="1" customWidth="1"/>
    <col min="29" max="30" width="8.85546875" style="149" bestFit="1" customWidth="1"/>
    <col min="31" max="31" width="6.140625" style="150" customWidth="1"/>
    <col min="32" max="32" width="11.85546875" style="151" customWidth="1"/>
    <col min="33" max="33" width="8.85546875" style="150" bestFit="1" customWidth="1"/>
    <col min="34" max="34" width="11.42578125" style="150" customWidth="1"/>
    <col min="35" max="35" width="8.85546875" style="150" bestFit="1" customWidth="1"/>
    <col min="36" max="36" width="12" style="150" customWidth="1"/>
    <col min="37" max="37" width="8.85546875" style="150" bestFit="1" customWidth="1"/>
    <col min="38" max="38" width="11.42578125" style="150" bestFit="1" customWidth="1"/>
    <col min="39" max="39" width="13" style="150" customWidth="1"/>
    <col min="40" max="40" width="15.28515625" style="150" hidden="1" customWidth="1"/>
    <col min="41" max="41" width="18.5703125" style="150" hidden="1" customWidth="1"/>
    <col min="42" max="46" width="11" style="150" hidden="1" customWidth="1"/>
    <col min="47" max="47" width="11" style="150" customWidth="1"/>
    <col min="48" max="48" width="10.28515625" style="150" customWidth="1"/>
    <col min="49" max="49" width="14" style="150" customWidth="1"/>
    <col min="50" max="50" width="11" style="150" customWidth="1"/>
    <col min="51" max="51" width="11.5703125" style="150" customWidth="1"/>
    <col min="52" max="16384" width="9.140625" style="81"/>
  </cols>
  <sheetData>
    <row r="1" spans="1:58" ht="21.95" customHeight="1" x14ac:dyDescent="0.25">
      <c r="B1" s="82" t="s">
        <v>49</v>
      </c>
      <c r="C1" s="83"/>
      <c r="D1" s="83"/>
      <c r="E1" s="83"/>
      <c r="AC1" s="81"/>
      <c r="AD1" s="81"/>
      <c r="AE1" s="81"/>
      <c r="AF1" s="81"/>
      <c r="AG1" s="81"/>
      <c r="AH1" s="81"/>
      <c r="AI1" s="81"/>
      <c r="AJ1" s="81"/>
      <c r="AK1" s="81"/>
      <c r="AL1" s="81"/>
      <c r="AM1" s="81"/>
      <c r="AN1" s="81"/>
      <c r="AO1" s="81"/>
      <c r="AP1" s="81"/>
      <c r="AQ1" s="81"/>
      <c r="AR1" s="81"/>
      <c r="AS1" s="81"/>
      <c r="AT1" s="81"/>
      <c r="AU1" s="81"/>
      <c r="AV1" s="81"/>
      <c r="AW1" s="81"/>
      <c r="AX1" s="81"/>
      <c r="AY1" s="81"/>
    </row>
    <row r="2" spans="1:58" ht="21.95" customHeight="1" x14ac:dyDescent="0.2">
      <c r="B2" s="84" t="s">
        <v>50</v>
      </c>
      <c r="C2" s="85"/>
      <c r="D2" s="85"/>
      <c r="E2" s="85"/>
      <c r="F2" s="86"/>
      <c r="G2" s="87"/>
      <c r="H2" s="87"/>
      <c r="I2" s="87"/>
      <c r="J2" s="87"/>
      <c r="L2" s="85"/>
      <c r="M2" s="85"/>
      <c r="N2" s="85"/>
      <c r="O2" s="85"/>
      <c r="P2" s="85"/>
      <c r="Q2" s="85"/>
      <c r="R2" s="88"/>
      <c r="AC2" s="81"/>
      <c r="AD2" s="81"/>
      <c r="AE2" s="81"/>
      <c r="AF2" s="81"/>
      <c r="AG2" s="81"/>
      <c r="AH2" s="81"/>
      <c r="AI2" s="81"/>
      <c r="AJ2" s="81"/>
      <c r="AK2" s="81"/>
      <c r="AL2" s="81"/>
      <c r="AM2" s="81"/>
      <c r="AN2" s="81"/>
      <c r="AO2" s="81"/>
      <c r="AP2" s="81"/>
      <c r="AQ2" s="81"/>
      <c r="AR2" s="81"/>
      <c r="AS2" s="81"/>
      <c r="AT2" s="81"/>
      <c r="AU2" s="81"/>
      <c r="AV2" s="81"/>
      <c r="AW2" s="81"/>
      <c r="AX2" s="81"/>
      <c r="AY2" s="81"/>
    </row>
    <row r="3" spans="1:58" ht="21.95" customHeight="1" thickBot="1" x14ac:dyDescent="0.25">
      <c r="B3" s="89"/>
      <c r="C3" s="85"/>
      <c r="D3" s="85"/>
      <c r="E3" s="85"/>
      <c r="F3" s="86"/>
      <c r="G3" s="85"/>
      <c r="H3" s="85"/>
      <c r="I3" s="85"/>
      <c r="J3" s="85"/>
      <c r="L3" s="85"/>
      <c r="M3" s="85"/>
      <c r="N3" s="85"/>
      <c r="O3" s="85"/>
      <c r="P3" s="85"/>
      <c r="Q3" s="85"/>
      <c r="R3" s="88"/>
      <c r="AC3" s="81"/>
      <c r="AD3" s="81"/>
      <c r="AE3" s="81"/>
      <c r="AF3" s="81"/>
      <c r="AG3" s="81"/>
      <c r="AH3" s="81"/>
      <c r="AI3" s="81"/>
      <c r="AJ3" s="81"/>
      <c r="AK3" s="81"/>
      <c r="AL3" s="81"/>
      <c r="AM3" s="90"/>
      <c r="AN3" s="81"/>
      <c r="AO3" s="81"/>
      <c r="AP3" s="81"/>
      <c r="AQ3" s="81"/>
      <c r="AR3" s="81"/>
      <c r="AS3" s="81"/>
      <c r="AT3" s="81"/>
      <c r="AU3" s="81"/>
      <c r="AV3" s="81"/>
      <c r="AW3" s="81"/>
      <c r="AX3" s="81"/>
      <c r="AY3" s="81"/>
    </row>
    <row r="4" spans="1:58" ht="15.95" customHeight="1" thickBot="1" x14ac:dyDescent="0.25">
      <c r="B4" s="837" t="s">
        <v>51</v>
      </c>
      <c r="C4" s="838"/>
      <c r="D4" s="838"/>
      <c r="E4" s="838"/>
      <c r="F4" s="838"/>
      <c r="G4" s="838"/>
      <c r="H4" s="839"/>
      <c r="I4" s="837" t="s">
        <v>52</v>
      </c>
      <c r="J4" s="838"/>
      <c r="K4" s="838"/>
      <c r="L4" s="838"/>
      <c r="M4" s="838"/>
      <c r="N4" s="838"/>
      <c r="O4" s="839"/>
      <c r="P4" s="91"/>
      <c r="Q4" s="91"/>
      <c r="R4" s="91"/>
      <c r="S4" s="91"/>
      <c r="T4" s="91"/>
      <c r="U4" s="91"/>
      <c r="V4" s="91"/>
      <c r="W4" s="91"/>
      <c r="X4" s="91"/>
      <c r="Y4" s="91"/>
      <c r="Z4" s="91"/>
      <c r="AA4" s="91"/>
      <c r="AB4" s="91"/>
      <c r="AC4" s="91"/>
      <c r="AD4" s="91"/>
      <c r="AE4" s="91"/>
      <c r="AF4" s="91"/>
      <c r="AG4" s="91"/>
      <c r="AH4" s="91"/>
      <c r="AI4" s="91"/>
      <c r="AJ4" s="91"/>
      <c r="AK4" s="91"/>
      <c r="AL4" s="92"/>
      <c r="AM4" s="81"/>
      <c r="AN4" s="93"/>
      <c r="AO4" s="93"/>
      <c r="AP4" s="93"/>
      <c r="AQ4" s="93"/>
      <c r="AR4" s="93"/>
      <c r="AS4" s="93"/>
      <c r="AT4" s="93"/>
      <c r="AU4" s="94" t="s">
        <v>52</v>
      </c>
      <c r="AV4" s="93"/>
      <c r="AW4" s="93"/>
      <c r="AX4" s="93"/>
      <c r="AY4" s="95"/>
    </row>
    <row r="5" spans="1:58" ht="51.75" thickBot="1" x14ac:dyDescent="0.25">
      <c r="A5" s="96" t="s">
        <v>53</v>
      </c>
      <c r="B5" s="97" t="s">
        <v>54</v>
      </c>
      <c r="C5" s="97" t="s">
        <v>55</v>
      </c>
      <c r="D5" s="97" t="s">
        <v>56</v>
      </c>
      <c r="E5" s="98" t="s">
        <v>57</v>
      </c>
      <c r="F5" s="99" t="s">
        <v>58</v>
      </c>
      <c r="G5" s="100"/>
      <c r="H5" s="101"/>
      <c r="I5" s="101"/>
      <c r="J5" s="101"/>
      <c r="K5" s="101"/>
      <c r="L5" s="101"/>
      <c r="M5" s="101"/>
      <c r="N5" s="101"/>
      <c r="O5" s="101"/>
      <c r="P5" s="101"/>
      <c r="Q5" s="101"/>
      <c r="R5" s="101"/>
      <c r="S5" s="101"/>
      <c r="T5" s="101"/>
      <c r="U5" s="101"/>
      <c r="V5" s="101"/>
      <c r="W5" s="101"/>
      <c r="X5" s="101"/>
      <c r="Y5" s="101"/>
      <c r="Z5" s="101"/>
      <c r="AA5" s="101"/>
      <c r="AB5" s="102"/>
      <c r="AC5" s="99" t="s">
        <v>59</v>
      </c>
      <c r="AD5" s="99" t="s">
        <v>60</v>
      </c>
      <c r="AE5" s="99" t="s">
        <v>61</v>
      </c>
      <c r="AF5" s="99" t="s">
        <v>62</v>
      </c>
      <c r="AG5" s="99" t="s">
        <v>63</v>
      </c>
      <c r="AH5" s="99" t="s">
        <v>64</v>
      </c>
      <c r="AI5" s="99" t="s">
        <v>65</v>
      </c>
      <c r="AJ5" s="99" t="s">
        <v>66</v>
      </c>
      <c r="AK5" s="99" t="s">
        <v>67</v>
      </c>
      <c r="AL5" s="99" t="s">
        <v>68</v>
      </c>
      <c r="AM5" s="99" t="s">
        <v>69</v>
      </c>
      <c r="AN5" s="103" t="s">
        <v>70</v>
      </c>
      <c r="AO5" s="104" t="s">
        <v>71</v>
      </c>
      <c r="AP5" s="105"/>
      <c r="AQ5" s="105"/>
      <c r="AR5" s="105"/>
      <c r="AS5" s="105"/>
      <c r="AT5" s="106"/>
      <c r="AU5" s="99" t="s">
        <v>72</v>
      </c>
      <c r="AV5" s="99" t="s">
        <v>73</v>
      </c>
      <c r="AW5" s="99" t="s">
        <v>74</v>
      </c>
      <c r="AX5" s="99" t="s">
        <v>75</v>
      </c>
      <c r="AY5" s="99" t="s">
        <v>76</v>
      </c>
      <c r="AZ5" s="107"/>
      <c r="BA5" s="108"/>
      <c r="BB5" s="108"/>
      <c r="BC5" s="108"/>
      <c r="BD5" s="108"/>
      <c r="BE5" s="108"/>
      <c r="BF5" s="107"/>
    </row>
    <row r="6" spans="1:58" x14ac:dyDescent="0.2">
      <c r="A6" s="109"/>
      <c r="B6" s="110"/>
      <c r="C6" s="111"/>
      <c r="D6" s="111"/>
      <c r="E6" s="112"/>
      <c r="F6" s="113"/>
      <c r="G6" s="114"/>
      <c r="H6" s="115"/>
      <c r="I6" s="114"/>
      <c r="J6" s="114"/>
      <c r="K6" s="114"/>
      <c r="L6" s="114"/>
      <c r="M6" s="114"/>
      <c r="N6" s="114"/>
      <c r="O6" s="114"/>
      <c r="P6" s="114"/>
      <c r="Q6" s="114"/>
      <c r="R6" s="114"/>
      <c r="S6" s="114"/>
      <c r="T6" s="114"/>
      <c r="U6" s="114"/>
      <c r="V6" s="114"/>
      <c r="W6" s="114"/>
      <c r="X6" s="114"/>
      <c r="Y6" s="114"/>
      <c r="Z6" s="114"/>
      <c r="AA6" s="114"/>
      <c r="AB6" s="114"/>
      <c r="AC6" s="116"/>
      <c r="AD6" s="116"/>
      <c r="AE6" s="105"/>
      <c r="AF6" s="117"/>
      <c r="AG6" s="105">
        <f>AD6*AF6</f>
        <v>0</v>
      </c>
      <c r="AH6" s="118"/>
      <c r="AI6" s="105">
        <f>AD6*AH6</f>
        <v>0</v>
      </c>
      <c r="AJ6" s="118"/>
      <c r="AK6" s="105">
        <f>AD6*AJ6</f>
        <v>0</v>
      </c>
      <c r="AL6" s="118"/>
      <c r="AM6" s="105">
        <f>AD6*AL6</f>
        <v>0</v>
      </c>
      <c r="AN6" s="119"/>
      <c r="AO6" s="120"/>
      <c r="AP6" s="119"/>
      <c r="AQ6" s="119"/>
      <c r="AR6" s="119"/>
      <c r="AS6" s="119"/>
      <c r="AT6" s="119"/>
      <c r="AU6" s="105"/>
      <c r="AV6" s="105"/>
      <c r="AW6" s="105"/>
      <c r="AX6" s="105"/>
      <c r="AY6" s="105"/>
      <c r="AZ6" s="121"/>
      <c r="BA6" s="122"/>
      <c r="BB6" s="122"/>
      <c r="BC6" s="122"/>
      <c r="BD6" s="122"/>
      <c r="BE6" s="122"/>
    </row>
    <row r="7" spans="1:58" x14ac:dyDescent="0.2">
      <c r="A7" s="123"/>
      <c r="B7" s="124"/>
      <c r="C7" s="114"/>
      <c r="D7" s="114"/>
      <c r="E7" s="125"/>
      <c r="F7" s="126"/>
      <c r="G7" s="114"/>
      <c r="H7" s="115"/>
      <c r="I7" s="114"/>
      <c r="J7" s="114"/>
      <c r="K7" s="114"/>
      <c r="L7" s="114"/>
      <c r="M7" s="114"/>
      <c r="N7" s="114"/>
      <c r="O7" s="114"/>
      <c r="P7" s="114"/>
      <c r="Q7" s="114"/>
      <c r="R7" s="114"/>
      <c r="S7" s="114"/>
      <c r="T7" s="114"/>
      <c r="U7" s="114"/>
      <c r="V7" s="114"/>
      <c r="W7" s="114"/>
      <c r="X7" s="114"/>
      <c r="Y7" s="114"/>
      <c r="Z7" s="114"/>
      <c r="AA7" s="114"/>
      <c r="AB7" s="114"/>
      <c r="AC7" s="127"/>
      <c r="AD7" s="127"/>
      <c r="AE7" s="119"/>
      <c r="AF7" s="128"/>
      <c r="AG7" s="105">
        <f t="shared" ref="AG7:AG28" si="0">AD7*AF7</f>
        <v>0</v>
      </c>
      <c r="AH7" s="120"/>
      <c r="AI7" s="105">
        <f t="shared" ref="AI7:AI28" si="1">AD7*AH7</f>
        <v>0</v>
      </c>
      <c r="AJ7" s="120"/>
      <c r="AK7" s="105">
        <f t="shared" ref="AK7:AK28" si="2">AD7*AJ7</f>
        <v>0</v>
      </c>
      <c r="AL7" s="120"/>
      <c r="AM7" s="105">
        <f t="shared" ref="AM7:AM28" si="3">AD7*AL7</f>
        <v>0</v>
      </c>
      <c r="AN7" s="119"/>
      <c r="AO7" s="120"/>
      <c r="AP7" s="119"/>
      <c r="AQ7" s="119"/>
      <c r="AR7" s="119"/>
      <c r="AS7" s="119"/>
      <c r="AT7" s="119"/>
      <c r="AU7" s="119"/>
      <c r="AV7" s="119"/>
      <c r="AW7" s="119"/>
      <c r="AX7" s="119"/>
      <c r="AY7" s="119"/>
      <c r="AZ7" s="121"/>
      <c r="BA7" s="129"/>
      <c r="BB7" s="129"/>
      <c r="BC7" s="129"/>
      <c r="BD7" s="129"/>
      <c r="BE7" s="129"/>
    </row>
    <row r="8" spans="1:58" x14ac:dyDescent="0.2">
      <c r="A8" s="123"/>
      <c r="B8" s="124"/>
      <c r="C8" s="114"/>
      <c r="D8" s="114"/>
      <c r="E8" s="125"/>
      <c r="F8" s="126"/>
      <c r="G8" s="114"/>
      <c r="H8" s="114"/>
      <c r="I8" s="114"/>
      <c r="J8" s="114"/>
      <c r="K8" s="114"/>
      <c r="L8" s="114"/>
      <c r="M8" s="114"/>
      <c r="N8" s="114"/>
      <c r="O8" s="114"/>
      <c r="P8" s="114"/>
      <c r="Q8" s="114"/>
      <c r="R8" s="114"/>
      <c r="S8" s="114"/>
      <c r="T8" s="114"/>
      <c r="U8" s="114"/>
      <c r="V8" s="114"/>
      <c r="W8" s="114"/>
      <c r="X8" s="114"/>
      <c r="Y8" s="114"/>
      <c r="Z8" s="114"/>
      <c r="AA8" s="114"/>
      <c r="AB8" s="114"/>
      <c r="AC8" s="127"/>
      <c r="AD8" s="127"/>
      <c r="AE8" s="119"/>
      <c r="AF8" s="128"/>
      <c r="AG8" s="105">
        <f t="shared" si="0"/>
        <v>0</v>
      </c>
      <c r="AH8" s="120"/>
      <c r="AI8" s="105">
        <f t="shared" si="1"/>
        <v>0</v>
      </c>
      <c r="AJ8" s="120"/>
      <c r="AK8" s="105">
        <f t="shared" si="2"/>
        <v>0</v>
      </c>
      <c r="AL8" s="120"/>
      <c r="AM8" s="105">
        <f t="shared" si="3"/>
        <v>0</v>
      </c>
      <c r="AN8" s="119"/>
      <c r="AO8" s="120"/>
      <c r="AP8" s="119"/>
      <c r="AQ8" s="119"/>
      <c r="AR8" s="119"/>
      <c r="AS8" s="119"/>
      <c r="AT8" s="119"/>
      <c r="AU8" s="119"/>
      <c r="AV8" s="119"/>
      <c r="AW8" s="119"/>
      <c r="AX8" s="119"/>
      <c r="AY8" s="119"/>
      <c r="AZ8" s="121"/>
      <c r="BA8" s="129"/>
      <c r="BB8" s="129"/>
      <c r="BC8" s="129"/>
      <c r="BD8" s="129"/>
      <c r="BE8" s="129"/>
    </row>
    <row r="9" spans="1:58" x14ac:dyDescent="0.2">
      <c r="A9" s="123"/>
      <c r="B9" s="124"/>
      <c r="C9" s="114"/>
      <c r="D9" s="114"/>
      <c r="E9" s="125"/>
      <c r="F9" s="126"/>
      <c r="G9" s="114"/>
      <c r="H9" s="115"/>
      <c r="I9" s="114"/>
      <c r="J9" s="114"/>
      <c r="K9" s="114"/>
      <c r="L9" s="114"/>
      <c r="M9" s="114"/>
      <c r="N9" s="114"/>
      <c r="O9" s="114"/>
      <c r="P9" s="114"/>
      <c r="Q9" s="114"/>
      <c r="R9" s="114"/>
      <c r="S9" s="114"/>
      <c r="T9" s="114"/>
      <c r="U9" s="114"/>
      <c r="V9" s="114"/>
      <c r="W9" s="114"/>
      <c r="X9" s="114"/>
      <c r="Y9" s="114"/>
      <c r="Z9" s="114"/>
      <c r="AA9" s="114"/>
      <c r="AB9" s="114"/>
      <c r="AC9" s="127"/>
      <c r="AD9" s="127"/>
      <c r="AE9" s="119"/>
      <c r="AF9" s="128"/>
      <c r="AG9" s="105">
        <f t="shared" si="0"/>
        <v>0</v>
      </c>
      <c r="AH9" s="120"/>
      <c r="AI9" s="105">
        <f t="shared" si="1"/>
        <v>0</v>
      </c>
      <c r="AJ9" s="120"/>
      <c r="AK9" s="105">
        <f t="shared" si="2"/>
        <v>0</v>
      </c>
      <c r="AL9" s="120"/>
      <c r="AM9" s="105">
        <f t="shared" si="3"/>
        <v>0</v>
      </c>
      <c r="AN9" s="119"/>
      <c r="AO9" s="120"/>
      <c r="AP9" s="119"/>
      <c r="AQ9" s="119"/>
      <c r="AR9" s="119"/>
      <c r="AS9" s="119"/>
      <c r="AT9" s="119"/>
      <c r="AU9" s="119"/>
      <c r="AV9" s="119"/>
      <c r="AW9" s="119"/>
      <c r="AX9" s="119"/>
      <c r="AY9" s="119"/>
      <c r="AZ9" s="121"/>
      <c r="BA9" s="129"/>
      <c r="BB9" s="129"/>
      <c r="BC9" s="129"/>
      <c r="BD9" s="129"/>
      <c r="BE9" s="129"/>
    </row>
    <row r="10" spans="1:58" x14ac:dyDescent="0.2">
      <c r="A10" s="123"/>
      <c r="B10" s="124"/>
      <c r="C10" s="114"/>
      <c r="D10" s="114"/>
      <c r="E10" s="125"/>
      <c r="F10" s="126"/>
      <c r="G10" s="114"/>
      <c r="H10" s="115"/>
      <c r="I10" s="114"/>
      <c r="J10" s="114"/>
      <c r="K10" s="114"/>
      <c r="L10" s="114"/>
      <c r="M10" s="114"/>
      <c r="N10" s="114"/>
      <c r="O10" s="114"/>
      <c r="P10" s="114"/>
      <c r="Q10" s="114"/>
      <c r="R10" s="114"/>
      <c r="S10" s="114"/>
      <c r="T10" s="114"/>
      <c r="U10" s="114"/>
      <c r="V10" s="114"/>
      <c r="W10" s="114"/>
      <c r="X10" s="114"/>
      <c r="Y10" s="114"/>
      <c r="Z10" s="114"/>
      <c r="AA10" s="114"/>
      <c r="AB10" s="114"/>
      <c r="AC10" s="127"/>
      <c r="AD10" s="127"/>
      <c r="AE10" s="119"/>
      <c r="AF10" s="128"/>
      <c r="AG10" s="105">
        <f t="shared" si="0"/>
        <v>0</v>
      </c>
      <c r="AH10" s="120"/>
      <c r="AI10" s="105">
        <f t="shared" si="1"/>
        <v>0</v>
      </c>
      <c r="AJ10" s="120"/>
      <c r="AK10" s="105">
        <f t="shared" si="2"/>
        <v>0</v>
      </c>
      <c r="AL10" s="120"/>
      <c r="AM10" s="105">
        <f t="shared" si="3"/>
        <v>0</v>
      </c>
      <c r="AN10" s="119"/>
      <c r="AO10" s="120"/>
      <c r="AP10" s="119"/>
      <c r="AQ10" s="119"/>
      <c r="AR10" s="119"/>
      <c r="AS10" s="119"/>
      <c r="AT10" s="119"/>
      <c r="AU10" s="119"/>
      <c r="AV10" s="119"/>
      <c r="AW10" s="119"/>
      <c r="AX10" s="119"/>
      <c r="AY10" s="119"/>
      <c r="AZ10" s="121"/>
      <c r="BA10" s="129"/>
      <c r="BB10" s="129"/>
      <c r="BC10" s="129"/>
      <c r="BD10" s="129"/>
      <c r="BE10" s="129"/>
    </row>
    <row r="11" spans="1:58" x14ac:dyDescent="0.2">
      <c r="A11" s="123"/>
      <c r="B11" s="124"/>
      <c r="C11" s="114"/>
      <c r="D11" s="114"/>
      <c r="E11" s="125"/>
      <c r="F11" s="126"/>
      <c r="G11" s="114"/>
      <c r="H11" s="115"/>
      <c r="I11" s="114"/>
      <c r="J11" s="114"/>
      <c r="K11" s="114"/>
      <c r="L11" s="114"/>
      <c r="M11" s="114"/>
      <c r="N11" s="114"/>
      <c r="O11" s="114"/>
      <c r="P11" s="114"/>
      <c r="Q11" s="114"/>
      <c r="R11" s="114"/>
      <c r="S11" s="114"/>
      <c r="T11" s="114"/>
      <c r="U11" s="114"/>
      <c r="V11" s="114"/>
      <c r="W11" s="114"/>
      <c r="X11" s="114"/>
      <c r="Y11" s="114"/>
      <c r="Z11" s="114"/>
      <c r="AA11" s="114"/>
      <c r="AB11" s="114"/>
      <c r="AC11" s="127"/>
      <c r="AD11" s="127"/>
      <c r="AE11" s="119"/>
      <c r="AF11" s="128"/>
      <c r="AG11" s="105">
        <f t="shared" si="0"/>
        <v>0</v>
      </c>
      <c r="AH11" s="120"/>
      <c r="AI11" s="105">
        <f t="shared" si="1"/>
        <v>0</v>
      </c>
      <c r="AJ11" s="120"/>
      <c r="AK11" s="105">
        <f t="shared" si="2"/>
        <v>0</v>
      </c>
      <c r="AL11" s="120"/>
      <c r="AM11" s="105">
        <f t="shared" si="3"/>
        <v>0</v>
      </c>
      <c r="AN11" s="119"/>
      <c r="AO11" s="120"/>
      <c r="AP11" s="119"/>
      <c r="AQ11" s="119"/>
      <c r="AR11" s="119"/>
      <c r="AS11" s="119"/>
      <c r="AT11" s="119"/>
      <c r="AU11" s="119"/>
      <c r="AV11" s="119"/>
      <c r="AW11" s="119"/>
      <c r="AX11" s="119"/>
      <c r="AY11" s="119"/>
      <c r="AZ11" s="121"/>
      <c r="BA11" s="129"/>
      <c r="BB11" s="129"/>
      <c r="BC11" s="129"/>
      <c r="BD11" s="129"/>
      <c r="BE11" s="129"/>
    </row>
    <row r="12" spans="1:58" x14ac:dyDescent="0.2">
      <c r="A12" s="123"/>
      <c r="B12" s="124"/>
      <c r="C12" s="114"/>
      <c r="D12" s="114"/>
      <c r="E12" s="125"/>
      <c r="F12" s="126"/>
      <c r="G12" s="114"/>
      <c r="H12" s="115"/>
      <c r="I12" s="114"/>
      <c r="J12" s="114"/>
      <c r="K12" s="114"/>
      <c r="L12" s="114"/>
      <c r="M12" s="114"/>
      <c r="N12" s="114"/>
      <c r="O12" s="114"/>
      <c r="P12" s="114"/>
      <c r="Q12" s="114"/>
      <c r="R12" s="114"/>
      <c r="S12" s="114"/>
      <c r="T12" s="114"/>
      <c r="U12" s="114"/>
      <c r="V12" s="114"/>
      <c r="W12" s="114"/>
      <c r="X12" s="114"/>
      <c r="Y12" s="114"/>
      <c r="Z12" s="114"/>
      <c r="AA12" s="114"/>
      <c r="AB12" s="114"/>
      <c r="AC12" s="127"/>
      <c r="AD12" s="127"/>
      <c r="AE12" s="119"/>
      <c r="AF12" s="128"/>
      <c r="AG12" s="105">
        <f t="shared" si="0"/>
        <v>0</v>
      </c>
      <c r="AH12" s="120"/>
      <c r="AI12" s="105">
        <f t="shared" si="1"/>
        <v>0</v>
      </c>
      <c r="AJ12" s="120"/>
      <c r="AK12" s="105">
        <f t="shared" si="2"/>
        <v>0</v>
      </c>
      <c r="AL12" s="120"/>
      <c r="AM12" s="105">
        <f t="shared" si="3"/>
        <v>0</v>
      </c>
      <c r="AN12" s="119"/>
      <c r="AO12" s="120"/>
      <c r="AP12" s="119"/>
      <c r="AQ12" s="119"/>
      <c r="AR12" s="119"/>
      <c r="AS12" s="119"/>
      <c r="AT12" s="119"/>
      <c r="AU12" s="119"/>
      <c r="AV12" s="119"/>
      <c r="AW12" s="119"/>
      <c r="AX12" s="119"/>
      <c r="AY12" s="119"/>
      <c r="AZ12" s="121"/>
      <c r="BA12" s="129"/>
      <c r="BB12" s="129"/>
      <c r="BC12" s="129"/>
      <c r="BD12" s="129"/>
      <c r="BE12" s="129"/>
    </row>
    <row r="13" spans="1:58" x14ac:dyDescent="0.2">
      <c r="A13" s="123"/>
      <c r="B13" s="124"/>
      <c r="C13" s="114"/>
      <c r="D13" s="114"/>
      <c r="E13" s="125"/>
      <c r="F13" s="126"/>
      <c r="G13" s="114"/>
      <c r="H13" s="115"/>
      <c r="I13" s="114"/>
      <c r="J13" s="114"/>
      <c r="K13" s="114"/>
      <c r="L13" s="114"/>
      <c r="M13" s="114"/>
      <c r="N13" s="114"/>
      <c r="O13" s="114"/>
      <c r="P13" s="114"/>
      <c r="Q13" s="114"/>
      <c r="R13" s="114"/>
      <c r="S13" s="114"/>
      <c r="T13" s="114"/>
      <c r="U13" s="114"/>
      <c r="V13" s="114"/>
      <c r="W13" s="114"/>
      <c r="X13" s="114"/>
      <c r="Y13" s="114"/>
      <c r="Z13" s="114"/>
      <c r="AA13" s="114"/>
      <c r="AB13" s="114"/>
      <c r="AC13" s="127"/>
      <c r="AD13" s="127"/>
      <c r="AE13" s="119"/>
      <c r="AF13" s="128"/>
      <c r="AG13" s="105">
        <f t="shared" si="0"/>
        <v>0</v>
      </c>
      <c r="AH13" s="120"/>
      <c r="AI13" s="105">
        <f t="shared" si="1"/>
        <v>0</v>
      </c>
      <c r="AJ13" s="120"/>
      <c r="AK13" s="105">
        <f t="shared" si="2"/>
        <v>0</v>
      </c>
      <c r="AL13" s="120"/>
      <c r="AM13" s="105">
        <f t="shared" si="3"/>
        <v>0</v>
      </c>
      <c r="AN13" s="119"/>
      <c r="AO13" s="120"/>
      <c r="AP13" s="119"/>
      <c r="AQ13" s="119"/>
      <c r="AR13" s="119"/>
      <c r="AS13" s="119"/>
      <c r="AT13" s="119"/>
      <c r="AU13" s="119"/>
      <c r="AV13" s="119"/>
      <c r="AW13" s="119"/>
      <c r="AX13" s="119"/>
      <c r="AY13" s="119"/>
      <c r="AZ13" s="121"/>
      <c r="BA13" s="129"/>
      <c r="BB13" s="129"/>
      <c r="BC13" s="129"/>
      <c r="BD13" s="129"/>
      <c r="BE13" s="129"/>
    </row>
    <row r="14" spans="1:58" x14ac:dyDescent="0.2">
      <c r="A14" s="123"/>
      <c r="B14" s="124"/>
      <c r="C14" s="114"/>
      <c r="D14" s="114"/>
      <c r="E14" s="125"/>
      <c r="F14" s="126"/>
      <c r="G14" s="114"/>
      <c r="H14" s="115"/>
      <c r="I14" s="114"/>
      <c r="J14" s="114"/>
      <c r="K14" s="114"/>
      <c r="L14" s="114"/>
      <c r="M14" s="114"/>
      <c r="N14" s="114"/>
      <c r="O14" s="114"/>
      <c r="P14" s="114"/>
      <c r="Q14" s="114"/>
      <c r="R14" s="114"/>
      <c r="S14" s="114"/>
      <c r="T14" s="114"/>
      <c r="U14" s="114"/>
      <c r="V14" s="114"/>
      <c r="W14" s="114"/>
      <c r="X14" s="114"/>
      <c r="Y14" s="114"/>
      <c r="Z14" s="114"/>
      <c r="AA14" s="114"/>
      <c r="AB14" s="114"/>
      <c r="AC14" s="127"/>
      <c r="AD14" s="127"/>
      <c r="AE14" s="119"/>
      <c r="AF14" s="128"/>
      <c r="AG14" s="105">
        <f t="shared" si="0"/>
        <v>0</v>
      </c>
      <c r="AH14" s="120"/>
      <c r="AI14" s="105">
        <f t="shared" si="1"/>
        <v>0</v>
      </c>
      <c r="AJ14" s="120"/>
      <c r="AK14" s="105">
        <f t="shared" si="2"/>
        <v>0</v>
      </c>
      <c r="AL14" s="120"/>
      <c r="AM14" s="105">
        <f t="shared" si="3"/>
        <v>0</v>
      </c>
      <c r="AN14" s="119"/>
      <c r="AO14" s="120"/>
      <c r="AP14" s="119"/>
      <c r="AQ14" s="119"/>
      <c r="AR14" s="119"/>
      <c r="AS14" s="119"/>
      <c r="AT14" s="119"/>
      <c r="AU14" s="119"/>
      <c r="AV14" s="119"/>
      <c r="AW14" s="119"/>
      <c r="AX14" s="119"/>
      <c r="AY14" s="119"/>
      <c r="AZ14" s="121"/>
      <c r="BA14" s="129"/>
      <c r="BB14" s="129"/>
      <c r="BC14" s="129"/>
      <c r="BD14" s="129"/>
      <c r="BE14" s="129"/>
    </row>
    <row r="15" spans="1:58" x14ac:dyDescent="0.2">
      <c r="A15" s="123"/>
      <c r="B15" s="124"/>
      <c r="C15" s="114"/>
      <c r="D15" s="114"/>
      <c r="E15" s="125"/>
      <c r="F15" s="126"/>
      <c r="G15" s="114"/>
      <c r="H15" s="115"/>
      <c r="I15" s="114"/>
      <c r="J15" s="114"/>
      <c r="K15" s="114"/>
      <c r="L15" s="114"/>
      <c r="M15" s="114"/>
      <c r="N15" s="114"/>
      <c r="O15" s="114"/>
      <c r="P15" s="114"/>
      <c r="Q15" s="114"/>
      <c r="R15" s="114"/>
      <c r="S15" s="114"/>
      <c r="T15" s="114"/>
      <c r="U15" s="114"/>
      <c r="V15" s="114"/>
      <c r="W15" s="114"/>
      <c r="X15" s="114"/>
      <c r="Y15" s="114"/>
      <c r="Z15" s="114"/>
      <c r="AA15" s="114"/>
      <c r="AB15" s="114"/>
      <c r="AC15" s="127"/>
      <c r="AD15" s="127"/>
      <c r="AE15" s="119"/>
      <c r="AF15" s="128"/>
      <c r="AG15" s="105">
        <f t="shared" si="0"/>
        <v>0</v>
      </c>
      <c r="AH15" s="120"/>
      <c r="AI15" s="105">
        <f t="shared" si="1"/>
        <v>0</v>
      </c>
      <c r="AJ15" s="120"/>
      <c r="AK15" s="105">
        <f t="shared" si="2"/>
        <v>0</v>
      </c>
      <c r="AL15" s="120"/>
      <c r="AM15" s="105">
        <f t="shared" si="3"/>
        <v>0</v>
      </c>
      <c r="AN15" s="119"/>
      <c r="AO15" s="120"/>
      <c r="AP15" s="119"/>
      <c r="AQ15" s="119"/>
      <c r="AR15" s="119"/>
      <c r="AS15" s="119"/>
      <c r="AT15" s="119"/>
      <c r="AU15" s="119"/>
      <c r="AV15" s="119"/>
      <c r="AW15" s="119"/>
      <c r="AX15" s="119"/>
      <c r="AY15" s="119"/>
      <c r="AZ15" s="121"/>
      <c r="BA15" s="129"/>
      <c r="BB15" s="129"/>
      <c r="BC15" s="129"/>
      <c r="BD15" s="129"/>
      <c r="BE15" s="129"/>
    </row>
    <row r="16" spans="1:58" x14ac:dyDescent="0.2">
      <c r="A16" s="123"/>
      <c r="B16" s="124"/>
      <c r="C16" s="114"/>
      <c r="D16" s="114"/>
      <c r="E16" s="125"/>
      <c r="F16" s="126"/>
      <c r="G16" s="114"/>
      <c r="H16" s="115"/>
      <c r="I16" s="114"/>
      <c r="J16" s="114"/>
      <c r="K16" s="114"/>
      <c r="L16" s="114"/>
      <c r="M16" s="114"/>
      <c r="N16" s="114"/>
      <c r="O16" s="114"/>
      <c r="P16" s="114"/>
      <c r="Q16" s="114"/>
      <c r="R16" s="114"/>
      <c r="S16" s="114"/>
      <c r="T16" s="114"/>
      <c r="U16" s="114"/>
      <c r="V16" s="114"/>
      <c r="W16" s="114"/>
      <c r="X16" s="114"/>
      <c r="Y16" s="114"/>
      <c r="Z16" s="114"/>
      <c r="AA16" s="114"/>
      <c r="AB16" s="114"/>
      <c r="AC16" s="127"/>
      <c r="AD16" s="127"/>
      <c r="AE16" s="119"/>
      <c r="AF16" s="128"/>
      <c r="AG16" s="105">
        <f t="shared" si="0"/>
        <v>0</v>
      </c>
      <c r="AH16" s="120"/>
      <c r="AI16" s="105">
        <f t="shared" si="1"/>
        <v>0</v>
      </c>
      <c r="AJ16" s="120"/>
      <c r="AK16" s="105">
        <f t="shared" si="2"/>
        <v>0</v>
      </c>
      <c r="AL16" s="120"/>
      <c r="AM16" s="105">
        <f t="shared" si="3"/>
        <v>0</v>
      </c>
      <c r="AN16" s="119"/>
      <c r="AO16" s="120"/>
      <c r="AP16" s="119"/>
      <c r="AQ16" s="119"/>
      <c r="AR16" s="119"/>
      <c r="AS16" s="119"/>
      <c r="AT16" s="119"/>
      <c r="AU16" s="119"/>
      <c r="AV16" s="119"/>
      <c r="AW16" s="119"/>
      <c r="AX16" s="119"/>
      <c r="AY16" s="119"/>
      <c r="AZ16" s="121"/>
      <c r="BA16" s="129"/>
      <c r="BB16" s="129"/>
      <c r="BC16" s="129"/>
      <c r="BD16" s="129"/>
      <c r="BE16" s="129"/>
    </row>
    <row r="17" spans="1:58" x14ac:dyDescent="0.2">
      <c r="A17" s="123"/>
      <c r="B17" s="124"/>
      <c r="C17" s="114"/>
      <c r="D17" s="114"/>
      <c r="E17" s="125"/>
      <c r="F17" s="126"/>
      <c r="G17" s="114"/>
      <c r="H17" s="115"/>
      <c r="I17" s="114"/>
      <c r="J17" s="114"/>
      <c r="K17" s="114"/>
      <c r="L17" s="114"/>
      <c r="M17" s="114"/>
      <c r="N17" s="114"/>
      <c r="O17" s="114"/>
      <c r="P17" s="114"/>
      <c r="Q17" s="114"/>
      <c r="R17" s="114"/>
      <c r="S17" s="114"/>
      <c r="T17" s="114"/>
      <c r="U17" s="114"/>
      <c r="V17" s="114"/>
      <c r="W17" s="114"/>
      <c r="X17" s="114"/>
      <c r="Y17" s="114"/>
      <c r="Z17" s="114"/>
      <c r="AA17" s="114"/>
      <c r="AB17" s="114"/>
      <c r="AC17" s="127"/>
      <c r="AD17" s="127"/>
      <c r="AE17" s="119"/>
      <c r="AF17" s="128"/>
      <c r="AG17" s="105">
        <f t="shared" si="0"/>
        <v>0</v>
      </c>
      <c r="AH17" s="120"/>
      <c r="AI17" s="105">
        <f t="shared" si="1"/>
        <v>0</v>
      </c>
      <c r="AJ17" s="120"/>
      <c r="AK17" s="105">
        <f t="shared" si="2"/>
        <v>0</v>
      </c>
      <c r="AL17" s="120"/>
      <c r="AM17" s="105">
        <f t="shared" si="3"/>
        <v>0</v>
      </c>
      <c r="AN17" s="119"/>
      <c r="AO17" s="120"/>
      <c r="AP17" s="119"/>
      <c r="AQ17" s="119"/>
      <c r="AR17" s="119"/>
      <c r="AS17" s="119"/>
      <c r="AT17" s="119"/>
      <c r="AU17" s="119"/>
      <c r="AV17" s="119"/>
      <c r="AW17" s="119"/>
      <c r="AX17" s="119"/>
      <c r="AY17" s="119"/>
      <c r="AZ17" s="121"/>
      <c r="BA17" s="129"/>
      <c r="BB17" s="129"/>
      <c r="BC17" s="129"/>
      <c r="BD17" s="129"/>
      <c r="BE17" s="129"/>
    </row>
    <row r="18" spans="1:58" x14ac:dyDescent="0.2">
      <c r="A18" s="123"/>
      <c r="B18" s="124"/>
      <c r="C18" s="114"/>
      <c r="D18" s="114"/>
      <c r="E18" s="125"/>
      <c r="F18" s="126"/>
      <c r="G18" s="114"/>
      <c r="H18" s="115"/>
      <c r="I18" s="114"/>
      <c r="J18" s="114"/>
      <c r="K18" s="114"/>
      <c r="L18" s="114"/>
      <c r="M18" s="114"/>
      <c r="N18" s="114"/>
      <c r="O18" s="114"/>
      <c r="P18" s="114"/>
      <c r="Q18" s="114"/>
      <c r="R18" s="114"/>
      <c r="S18" s="114"/>
      <c r="T18" s="114"/>
      <c r="U18" s="114"/>
      <c r="V18" s="114"/>
      <c r="W18" s="114"/>
      <c r="X18" s="114"/>
      <c r="Y18" s="114"/>
      <c r="Z18" s="114"/>
      <c r="AA18" s="114"/>
      <c r="AB18" s="114"/>
      <c r="AC18" s="127"/>
      <c r="AD18" s="127"/>
      <c r="AE18" s="119"/>
      <c r="AF18" s="128"/>
      <c r="AG18" s="105">
        <f t="shared" si="0"/>
        <v>0</v>
      </c>
      <c r="AH18" s="120"/>
      <c r="AI18" s="105">
        <f t="shared" si="1"/>
        <v>0</v>
      </c>
      <c r="AJ18" s="120"/>
      <c r="AK18" s="105">
        <f t="shared" si="2"/>
        <v>0</v>
      </c>
      <c r="AL18" s="120"/>
      <c r="AM18" s="105">
        <f t="shared" si="3"/>
        <v>0</v>
      </c>
      <c r="AN18" s="119"/>
      <c r="AO18" s="120"/>
      <c r="AP18" s="119"/>
      <c r="AQ18" s="119"/>
      <c r="AR18" s="119"/>
      <c r="AS18" s="119"/>
      <c r="AT18" s="119"/>
      <c r="AU18" s="119"/>
      <c r="AV18" s="119"/>
      <c r="AW18" s="119"/>
      <c r="AX18" s="119"/>
      <c r="AY18" s="119"/>
      <c r="AZ18" s="121"/>
      <c r="BA18" s="129"/>
      <c r="BB18" s="129"/>
      <c r="BC18" s="129"/>
      <c r="BD18" s="129"/>
      <c r="BE18" s="129"/>
    </row>
    <row r="19" spans="1:58" x14ac:dyDescent="0.2">
      <c r="A19" s="123"/>
      <c r="B19" s="124"/>
      <c r="C19" s="114"/>
      <c r="D19" s="114"/>
      <c r="E19" s="125"/>
      <c r="F19" s="126"/>
      <c r="G19" s="114"/>
      <c r="H19" s="115"/>
      <c r="I19" s="114"/>
      <c r="J19" s="114"/>
      <c r="K19" s="114"/>
      <c r="L19" s="114"/>
      <c r="M19" s="114"/>
      <c r="N19" s="114"/>
      <c r="O19" s="114"/>
      <c r="P19" s="114"/>
      <c r="Q19" s="114"/>
      <c r="R19" s="114"/>
      <c r="S19" s="114"/>
      <c r="T19" s="114"/>
      <c r="U19" s="114"/>
      <c r="V19" s="114"/>
      <c r="W19" s="114"/>
      <c r="X19" s="114"/>
      <c r="Y19" s="114"/>
      <c r="Z19" s="114"/>
      <c r="AA19" s="114"/>
      <c r="AB19" s="114"/>
      <c r="AC19" s="127"/>
      <c r="AD19" s="127"/>
      <c r="AE19" s="119"/>
      <c r="AF19" s="128"/>
      <c r="AG19" s="105">
        <f t="shared" si="0"/>
        <v>0</v>
      </c>
      <c r="AH19" s="120"/>
      <c r="AI19" s="105">
        <f t="shared" si="1"/>
        <v>0</v>
      </c>
      <c r="AJ19" s="120"/>
      <c r="AK19" s="105">
        <f t="shared" si="2"/>
        <v>0</v>
      </c>
      <c r="AL19" s="120"/>
      <c r="AM19" s="105">
        <f t="shared" si="3"/>
        <v>0</v>
      </c>
      <c r="AN19" s="119"/>
      <c r="AO19" s="120"/>
      <c r="AP19" s="119"/>
      <c r="AQ19" s="119"/>
      <c r="AR19" s="119"/>
      <c r="AS19" s="119"/>
      <c r="AT19" s="119"/>
      <c r="AU19" s="119"/>
      <c r="AV19" s="119"/>
      <c r="AW19" s="119"/>
      <c r="AX19" s="119"/>
      <c r="AY19" s="119"/>
      <c r="AZ19" s="121"/>
      <c r="BA19" s="129"/>
      <c r="BB19" s="129"/>
      <c r="BC19" s="129"/>
      <c r="BD19" s="129"/>
      <c r="BE19" s="129"/>
    </row>
    <row r="20" spans="1:58" x14ac:dyDescent="0.2">
      <c r="A20" s="123"/>
      <c r="B20" s="124"/>
      <c r="C20" s="114"/>
      <c r="D20" s="114"/>
      <c r="E20" s="125"/>
      <c r="F20" s="126"/>
      <c r="G20" s="114"/>
      <c r="H20" s="115"/>
      <c r="I20" s="114"/>
      <c r="J20" s="114"/>
      <c r="K20" s="114"/>
      <c r="L20" s="114"/>
      <c r="M20" s="114"/>
      <c r="N20" s="114"/>
      <c r="O20" s="114"/>
      <c r="P20" s="114"/>
      <c r="Q20" s="114"/>
      <c r="R20" s="114"/>
      <c r="S20" s="114"/>
      <c r="T20" s="114"/>
      <c r="U20" s="114"/>
      <c r="V20" s="114"/>
      <c r="W20" s="114"/>
      <c r="X20" s="114"/>
      <c r="Y20" s="114"/>
      <c r="Z20" s="114"/>
      <c r="AA20" s="114"/>
      <c r="AB20" s="114"/>
      <c r="AC20" s="127"/>
      <c r="AD20" s="127"/>
      <c r="AE20" s="119"/>
      <c r="AF20" s="128"/>
      <c r="AG20" s="105">
        <f t="shared" si="0"/>
        <v>0</v>
      </c>
      <c r="AH20" s="120"/>
      <c r="AI20" s="105">
        <f t="shared" si="1"/>
        <v>0</v>
      </c>
      <c r="AJ20" s="120"/>
      <c r="AK20" s="105">
        <f t="shared" si="2"/>
        <v>0</v>
      </c>
      <c r="AL20" s="120"/>
      <c r="AM20" s="105">
        <f t="shared" si="3"/>
        <v>0</v>
      </c>
      <c r="AN20" s="119"/>
      <c r="AO20" s="120"/>
      <c r="AP20" s="119"/>
      <c r="AQ20" s="119"/>
      <c r="AR20" s="119"/>
      <c r="AS20" s="119"/>
      <c r="AT20" s="119"/>
      <c r="AU20" s="119"/>
      <c r="AV20" s="119"/>
      <c r="AW20" s="119"/>
      <c r="AX20" s="119"/>
      <c r="AY20" s="119"/>
      <c r="AZ20" s="121"/>
      <c r="BA20" s="129"/>
      <c r="BB20" s="129"/>
      <c r="BC20" s="129"/>
      <c r="BD20" s="129"/>
      <c r="BE20" s="129"/>
    </row>
    <row r="21" spans="1:58" x14ac:dyDescent="0.2">
      <c r="A21" s="123"/>
      <c r="B21" s="124"/>
      <c r="C21" s="114"/>
      <c r="D21" s="114"/>
      <c r="E21" s="125"/>
      <c r="F21" s="126"/>
      <c r="G21" s="114"/>
      <c r="H21" s="115"/>
      <c r="I21" s="114"/>
      <c r="J21" s="114"/>
      <c r="K21" s="114"/>
      <c r="L21" s="114"/>
      <c r="M21" s="114"/>
      <c r="N21" s="114"/>
      <c r="O21" s="114"/>
      <c r="P21" s="114"/>
      <c r="Q21" s="114"/>
      <c r="R21" s="114"/>
      <c r="S21" s="114"/>
      <c r="T21" s="114"/>
      <c r="U21" s="114"/>
      <c r="V21" s="114"/>
      <c r="W21" s="114"/>
      <c r="X21" s="114"/>
      <c r="Y21" s="114"/>
      <c r="Z21" s="114"/>
      <c r="AA21" s="114"/>
      <c r="AB21" s="114"/>
      <c r="AC21" s="127"/>
      <c r="AD21" s="127"/>
      <c r="AE21" s="119"/>
      <c r="AF21" s="128"/>
      <c r="AG21" s="105">
        <f t="shared" si="0"/>
        <v>0</v>
      </c>
      <c r="AH21" s="120"/>
      <c r="AI21" s="105">
        <f t="shared" si="1"/>
        <v>0</v>
      </c>
      <c r="AJ21" s="120"/>
      <c r="AK21" s="105">
        <f t="shared" si="2"/>
        <v>0</v>
      </c>
      <c r="AL21" s="120"/>
      <c r="AM21" s="105">
        <f t="shared" si="3"/>
        <v>0</v>
      </c>
      <c r="AN21" s="119"/>
      <c r="AO21" s="120"/>
      <c r="AP21" s="119"/>
      <c r="AQ21" s="119"/>
      <c r="AR21" s="119"/>
      <c r="AS21" s="119"/>
      <c r="AT21" s="119"/>
      <c r="AU21" s="119"/>
      <c r="AV21" s="119"/>
      <c r="AW21" s="119"/>
      <c r="AX21" s="119"/>
      <c r="AY21" s="119"/>
      <c r="AZ21" s="121"/>
      <c r="BA21" s="129"/>
      <c r="BB21" s="129"/>
      <c r="BC21" s="129"/>
      <c r="BD21" s="129"/>
      <c r="BE21" s="129"/>
    </row>
    <row r="22" spans="1:58" x14ac:dyDescent="0.2">
      <c r="A22" s="123"/>
      <c r="B22" s="124"/>
      <c r="C22" s="114"/>
      <c r="D22" s="114"/>
      <c r="E22" s="125"/>
      <c r="F22" s="126"/>
      <c r="G22" s="114"/>
      <c r="H22" s="115"/>
      <c r="I22" s="114"/>
      <c r="J22" s="114"/>
      <c r="K22" s="114"/>
      <c r="L22" s="114"/>
      <c r="M22" s="114"/>
      <c r="N22" s="114"/>
      <c r="O22" s="114"/>
      <c r="P22" s="114"/>
      <c r="Q22" s="114"/>
      <c r="R22" s="114"/>
      <c r="S22" s="114"/>
      <c r="T22" s="114"/>
      <c r="U22" s="114"/>
      <c r="V22" s="114"/>
      <c r="W22" s="114"/>
      <c r="X22" s="114"/>
      <c r="Y22" s="114"/>
      <c r="Z22" s="114"/>
      <c r="AA22" s="114"/>
      <c r="AB22" s="114"/>
      <c r="AC22" s="127"/>
      <c r="AD22" s="127"/>
      <c r="AE22" s="119"/>
      <c r="AF22" s="128"/>
      <c r="AG22" s="105">
        <f t="shared" si="0"/>
        <v>0</v>
      </c>
      <c r="AH22" s="120"/>
      <c r="AI22" s="105">
        <f t="shared" si="1"/>
        <v>0</v>
      </c>
      <c r="AJ22" s="120"/>
      <c r="AK22" s="105">
        <f t="shared" si="2"/>
        <v>0</v>
      </c>
      <c r="AL22" s="120"/>
      <c r="AM22" s="105">
        <f t="shared" si="3"/>
        <v>0</v>
      </c>
      <c r="AN22" s="119"/>
      <c r="AO22" s="120"/>
      <c r="AP22" s="119"/>
      <c r="AQ22" s="119"/>
      <c r="AR22" s="119"/>
      <c r="AS22" s="119"/>
      <c r="AT22" s="119"/>
      <c r="AU22" s="119"/>
      <c r="AV22" s="119"/>
      <c r="AW22" s="119"/>
      <c r="AX22" s="119"/>
      <c r="AY22" s="119"/>
      <c r="AZ22" s="121"/>
      <c r="BA22" s="129"/>
      <c r="BB22" s="129"/>
      <c r="BC22" s="129"/>
      <c r="BD22" s="129"/>
      <c r="BE22" s="129"/>
    </row>
    <row r="23" spans="1:58" x14ac:dyDescent="0.2">
      <c r="A23" s="123"/>
      <c r="B23" s="124"/>
      <c r="C23" s="114"/>
      <c r="D23" s="114"/>
      <c r="E23" s="125"/>
      <c r="F23" s="126"/>
      <c r="G23" s="114"/>
      <c r="H23" s="114"/>
      <c r="I23" s="114"/>
      <c r="J23" s="114"/>
      <c r="K23" s="114"/>
      <c r="L23" s="114"/>
      <c r="M23" s="114"/>
      <c r="N23" s="114"/>
      <c r="O23" s="114"/>
      <c r="P23" s="114"/>
      <c r="Q23" s="114"/>
      <c r="R23" s="114"/>
      <c r="S23" s="114"/>
      <c r="T23" s="114"/>
      <c r="U23" s="114"/>
      <c r="V23" s="114"/>
      <c r="W23" s="114"/>
      <c r="X23" s="114"/>
      <c r="Y23" s="114"/>
      <c r="Z23" s="114"/>
      <c r="AA23" s="114"/>
      <c r="AB23" s="114"/>
      <c r="AC23" s="127"/>
      <c r="AD23" s="127"/>
      <c r="AE23" s="119"/>
      <c r="AF23" s="128"/>
      <c r="AG23" s="105">
        <f t="shared" si="0"/>
        <v>0</v>
      </c>
      <c r="AH23" s="120"/>
      <c r="AI23" s="105">
        <f t="shared" si="1"/>
        <v>0</v>
      </c>
      <c r="AJ23" s="120"/>
      <c r="AK23" s="105">
        <f t="shared" si="2"/>
        <v>0</v>
      </c>
      <c r="AL23" s="120"/>
      <c r="AM23" s="105">
        <f t="shared" si="3"/>
        <v>0</v>
      </c>
      <c r="AN23" s="119"/>
      <c r="AO23" s="120"/>
      <c r="AP23" s="119"/>
      <c r="AQ23" s="119"/>
      <c r="AR23" s="119"/>
      <c r="AS23" s="119"/>
      <c r="AT23" s="119"/>
      <c r="AU23" s="119"/>
      <c r="AV23" s="119"/>
      <c r="AW23" s="119"/>
      <c r="AX23" s="119"/>
      <c r="AY23" s="119"/>
      <c r="AZ23" s="121"/>
      <c r="BA23" s="129"/>
      <c r="BB23" s="129"/>
      <c r="BC23" s="129"/>
      <c r="BD23" s="129"/>
      <c r="BE23" s="129"/>
    </row>
    <row r="24" spans="1:58" x14ac:dyDescent="0.2">
      <c r="A24" s="123"/>
      <c r="B24" s="124"/>
      <c r="C24" s="114"/>
      <c r="D24" s="114"/>
      <c r="E24" s="125"/>
      <c r="F24" s="126"/>
      <c r="G24" s="114"/>
      <c r="H24" s="115"/>
      <c r="I24" s="114"/>
      <c r="J24" s="114"/>
      <c r="K24" s="114"/>
      <c r="L24" s="114"/>
      <c r="M24" s="114"/>
      <c r="N24" s="114"/>
      <c r="O24" s="114"/>
      <c r="P24" s="114"/>
      <c r="Q24" s="114"/>
      <c r="R24" s="114"/>
      <c r="S24" s="114"/>
      <c r="T24" s="114"/>
      <c r="U24" s="114"/>
      <c r="V24" s="114"/>
      <c r="W24" s="114"/>
      <c r="X24" s="114"/>
      <c r="Y24" s="114"/>
      <c r="Z24" s="114"/>
      <c r="AA24" s="114"/>
      <c r="AB24" s="114"/>
      <c r="AC24" s="127"/>
      <c r="AD24" s="127"/>
      <c r="AE24" s="119"/>
      <c r="AF24" s="128"/>
      <c r="AG24" s="105">
        <f t="shared" si="0"/>
        <v>0</v>
      </c>
      <c r="AH24" s="120"/>
      <c r="AI24" s="105">
        <f t="shared" si="1"/>
        <v>0</v>
      </c>
      <c r="AJ24" s="120"/>
      <c r="AK24" s="105">
        <f t="shared" si="2"/>
        <v>0</v>
      </c>
      <c r="AL24" s="120"/>
      <c r="AM24" s="105">
        <f t="shared" si="3"/>
        <v>0</v>
      </c>
      <c r="AN24" s="119"/>
      <c r="AO24" s="120"/>
      <c r="AP24" s="119"/>
      <c r="AQ24" s="119"/>
      <c r="AR24" s="119"/>
      <c r="AS24" s="119"/>
      <c r="AT24" s="119"/>
      <c r="AU24" s="119"/>
      <c r="AV24" s="119"/>
      <c r="AW24" s="119"/>
      <c r="AX24" s="119"/>
      <c r="AY24" s="119"/>
      <c r="AZ24" s="121"/>
      <c r="BA24" s="129"/>
      <c r="BB24" s="129"/>
      <c r="BC24" s="129"/>
      <c r="BD24" s="129"/>
      <c r="BE24" s="129"/>
    </row>
    <row r="25" spans="1:58" x14ac:dyDescent="0.2">
      <c r="A25" s="123"/>
      <c r="B25" s="124"/>
      <c r="C25" s="114"/>
      <c r="D25" s="114"/>
      <c r="E25" s="125"/>
      <c r="F25" s="126"/>
      <c r="G25" s="114"/>
      <c r="H25" s="114"/>
      <c r="I25" s="114"/>
      <c r="J25" s="114"/>
      <c r="K25" s="114"/>
      <c r="L25" s="114"/>
      <c r="M25" s="114"/>
      <c r="N25" s="114"/>
      <c r="O25" s="114"/>
      <c r="P25" s="114"/>
      <c r="Q25" s="114"/>
      <c r="R25" s="114"/>
      <c r="S25" s="114"/>
      <c r="T25" s="114"/>
      <c r="U25" s="114"/>
      <c r="V25" s="114"/>
      <c r="W25" s="114"/>
      <c r="X25" s="114"/>
      <c r="Y25" s="114"/>
      <c r="Z25" s="114"/>
      <c r="AA25" s="114"/>
      <c r="AB25" s="114"/>
      <c r="AC25" s="127"/>
      <c r="AD25" s="127"/>
      <c r="AE25" s="119"/>
      <c r="AF25" s="128"/>
      <c r="AG25" s="105">
        <f t="shared" si="0"/>
        <v>0</v>
      </c>
      <c r="AH25" s="120"/>
      <c r="AI25" s="105">
        <f t="shared" si="1"/>
        <v>0</v>
      </c>
      <c r="AJ25" s="120"/>
      <c r="AK25" s="105">
        <f t="shared" si="2"/>
        <v>0</v>
      </c>
      <c r="AL25" s="120"/>
      <c r="AM25" s="105">
        <f t="shared" si="3"/>
        <v>0</v>
      </c>
      <c r="AN25" s="119"/>
      <c r="AO25" s="120"/>
      <c r="AP25" s="119"/>
      <c r="AQ25" s="119"/>
      <c r="AR25" s="119"/>
      <c r="AS25" s="119"/>
      <c r="AT25" s="119"/>
      <c r="AU25" s="119"/>
      <c r="AV25" s="119"/>
      <c r="AW25" s="119"/>
      <c r="AX25" s="119"/>
      <c r="AY25" s="119"/>
      <c r="AZ25" s="121"/>
      <c r="BA25" s="129"/>
      <c r="BB25" s="129"/>
      <c r="BC25" s="129"/>
      <c r="BD25" s="129"/>
      <c r="BE25" s="129"/>
    </row>
    <row r="26" spans="1:58" x14ac:dyDescent="0.2">
      <c r="A26" s="123"/>
      <c r="B26" s="124"/>
      <c r="C26" s="114"/>
      <c r="D26" s="114"/>
      <c r="E26" s="125"/>
      <c r="F26" s="126"/>
      <c r="G26" s="114"/>
      <c r="H26" s="115"/>
      <c r="I26" s="114"/>
      <c r="J26" s="114"/>
      <c r="K26" s="114"/>
      <c r="L26" s="114"/>
      <c r="M26" s="114"/>
      <c r="N26" s="114"/>
      <c r="O26" s="114"/>
      <c r="P26" s="114"/>
      <c r="Q26" s="114"/>
      <c r="R26" s="114"/>
      <c r="S26" s="114"/>
      <c r="T26" s="114"/>
      <c r="U26" s="114"/>
      <c r="V26" s="114"/>
      <c r="W26" s="114"/>
      <c r="X26" s="114"/>
      <c r="Y26" s="114"/>
      <c r="Z26" s="114"/>
      <c r="AA26" s="114"/>
      <c r="AB26" s="114"/>
      <c r="AC26" s="127"/>
      <c r="AD26" s="127"/>
      <c r="AE26" s="119"/>
      <c r="AF26" s="128"/>
      <c r="AG26" s="105">
        <f t="shared" si="0"/>
        <v>0</v>
      </c>
      <c r="AH26" s="120"/>
      <c r="AI26" s="105">
        <f t="shared" si="1"/>
        <v>0</v>
      </c>
      <c r="AJ26" s="120"/>
      <c r="AK26" s="105">
        <f t="shared" si="2"/>
        <v>0</v>
      </c>
      <c r="AL26" s="120"/>
      <c r="AM26" s="105">
        <f t="shared" si="3"/>
        <v>0</v>
      </c>
      <c r="AN26" s="119"/>
      <c r="AO26" s="120"/>
      <c r="AP26" s="119"/>
      <c r="AQ26" s="119"/>
      <c r="AR26" s="119"/>
      <c r="AS26" s="119"/>
      <c r="AT26" s="119"/>
      <c r="AU26" s="119"/>
      <c r="AV26" s="119"/>
      <c r="AW26" s="119"/>
      <c r="AX26" s="119"/>
      <c r="AY26" s="119"/>
      <c r="AZ26" s="121"/>
      <c r="BA26" s="129"/>
      <c r="BB26" s="129"/>
      <c r="BC26" s="129"/>
      <c r="BD26" s="129"/>
      <c r="BE26" s="129"/>
    </row>
    <row r="27" spans="1:58" x14ac:dyDescent="0.2">
      <c r="A27" s="123"/>
      <c r="B27" s="124"/>
      <c r="C27" s="114"/>
      <c r="D27" s="114"/>
      <c r="E27" s="125"/>
      <c r="F27" s="130"/>
      <c r="G27" s="114"/>
      <c r="H27" s="114"/>
      <c r="I27" s="114"/>
      <c r="J27" s="114"/>
      <c r="K27" s="114"/>
      <c r="L27" s="114"/>
      <c r="M27" s="114"/>
      <c r="N27" s="114"/>
      <c r="O27" s="114"/>
      <c r="P27" s="114"/>
      <c r="Q27" s="114"/>
      <c r="R27" s="114"/>
      <c r="S27" s="114"/>
      <c r="T27" s="114"/>
      <c r="U27" s="114"/>
      <c r="V27" s="114"/>
      <c r="W27" s="114"/>
      <c r="X27" s="114"/>
      <c r="Y27" s="114"/>
      <c r="Z27" s="114"/>
      <c r="AA27" s="114"/>
      <c r="AB27" s="114"/>
      <c r="AC27" s="127"/>
      <c r="AD27" s="127"/>
      <c r="AE27" s="119"/>
      <c r="AF27" s="128"/>
      <c r="AG27" s="105">
        <f t="shared" si="0"/>
        <v>0</v>
      </c>
      <c r="AH27" s="120"/>
      <c r="AI27" s="105">
        <f t="shared" si="1"/>
        <v>0</v>
      </c>
      <c r="AJ27" s="120"/>
      <c r="AK27" s="105">
        <f t="shared" si="2"/>
        <v>0</v>
      </c>
      <c r="AL27" s="120"/>
      <c r="AM27" s="105">
        <f t="shared" si="3"/>
        <v>0</v>
      </c>
      <c r="AN27" s="119"/>
      <c r="AO27" s="120"/>
      <c r="AP27" s="119"/>
      <c r="AQ27" s="119"/>
      <c r="AR27" s="119"/>
      <c r="AS27" s="119"/>
      <c r="AT27" s="119"/>
      <c r="AU27" s="119"/>
      <c r="AV27" s="119"/>
      <c r="AW27" s="119"/>
      <c r="AX27" s="119"/>
      <c r="AY27" s="119"/>
      <c r="AZ27" s="121"/>
      <c r="BA27" s="129"/>
      <c r="BB27" s="129"/>
      <c r="BC27" s="129"/>
      <c r="BD27" s="129"/>
      <c r="BE27" s="129"/>
    </row>
    <row r="28" spans="1:58" x14ac:dyDescent="0.2">
      <c r="A28" s="123"/>
      <c r="B28" s="124"/>
      <c r="C28" s="114"/>
      <c r="D28" s="114"/>
      <c r="E28" s="125"/>
      <c r="F28" s="126"/>
      <c r="G28" s="114"/>
      <c r="H28" s="115"/>
      <c r="I28" s="114"/>
      <c r="J28" s="114"/>
      <c r="K28" s="114"/>
      <c r="L28" s="114"/>
      <c r="M28" s="114"/>
      <c r="N28" s="114"/>
      <c r="O28" s="114"/>
      <c r="P28" s="114"/>
      <c r="Q28" s="114"/>
      <c r="R28" s="114"/>
      <c r="S28" s="114"/>
      <c r="T28" s="114"/>
      <c r="U28" s="114"/>
      <c r="V28" s="114"/>
      <c r="W28" s="114"/>
      <c r="X28" s="114"/>
      <c r="Y28" s="114"/>
      <c r="Z28" s="114"/>
      <c r="AA28" s="114"/>
      <c r="AB28" s="114"/>
      <c r="AC28" s="127"/>
      <c r="AD28" s="127"/>
      <c r="AE28" s="119"/>
      <c r="AF28" s="128"/>
      <c r="AG28" s="105">
        <f t="shared" si="0"/>
        <v>0</v>
      </c>
      <c r="AH28" s="120"/>
      <c r="AI28" s="105">
        <f t="shared" si="1"/>
        <v>0</v>
      </c>
      <c r="AJ28" s="120"/>
      <c r="AK28" s="105">
        <f t="shared" si="2"/>
        <v>0</v>
      </c>
      <c r="AL28" s="120"/>
      <c r="AM28" s="105">
        <f t="shared" si="3"/>
        <v>0</v>
      </c>
      <c r="AN28" s="119"/>
      <c r="AO28" s="120"/>
      <c r="AP28" s="119"/>
      <c r="AQ28" s="119"/>
      <c r="AR28" s="119"/>
      <c r="AS28" s="119"/>
      <c r="AT28" s="119"/>
      <c r="AU28" s="119"/>
      <c r="AV28" s="119"/>
      <c r="AW28" s="119"/>
      <c r="AX28" s="119"/>
      <c r="AY28" s="119"/>
      <c r="AZ28" s="121"/>
      <c r="BA28" s="129"/>
      <c r="BB28" s="129"/>
      <c r="BC28" s="129"/>
      <c r="BD28" s="129"/>
      <c r="BE28" s="129"/>
    </row>
    <row r="29" spans="1:58" s="89" customFormat="1" x14ac:dyDescent="0.2">
      <c r="A29" s="131" t="s">
        <v>77</v>
      </c>
      <c r="B29" s="132" t="s">
        <v>78</v>
      </c>
      <c r="C29" s="133"/>
      <c r="D29" s="133"/>
      <c r="E29" s="134"/>
      <c r="F29" s="135"/>
      <c r="G29" s="133"/>
      <c r="H29" s="133"/>
      <c r="I29" s="133"/>
      <c r="J29" s="133"/>
      <c r="K29" s="133"/>
      <c r="L29" s="133"/>
      <c r="M29" s="133"/>
      <c r="N29" s="133"/>
      <c r="O29" s="133"/>
      <c r="P29" s="133"/>
      <c r="Q29" s="133"/>
      <c r="R29" s="133"/>
      <c r="S29" s="133"/>
      <c r="T29" s="133"/>
      <c r="U29" s="133"/>
      <c r="V29" s="133"/>
      <c r="W29" s="133"/>
      <c r="X29" s="133"/>
      <c r="Y29" s="133"/>
      <c r="Z29" s="133"/>
      <c r="AA29" s="133"/>
      <c r="AB29" s="133"/>
      <c r="AC29" s="136">
        <f>SUM(AC6:AC28)</f>
        <v>0</v>
      </c>
      <c r="AD29" s="136">
        <f>SUM(AD6:AD28)</f>
        <v>0</v>
      </c>
      <c r="AE29" s="136"/>
      <c r="AF29" s="136"/>
      <c r="AG29" s="136">
        <f t="shared" ref="AG29:AY29" si="4">SUM(AG6:AG28)</f>
        <v>0</v>
      </c>
      <c r="AH29" s="136"/>
      <c r="AI29" s="136">
        <f t="shared" si="4"/>
        <v>0</v>
      </c>
      <c r="AJ29" s="136"/>
      <c r="AK29" s="136">
        <f t="shared" si="4"/>
        <v>0</v>
      </c>
      <c r="AL29" s="136"/>
      <c r="AM29" s="136">
        <f t="shared" si="4"/>
        <v>0</v>
      </c>
      <c r="AN29" s="136">
        <f t="shared" si="4"/>
        <v>0</v>
      </c>
      <c r="AO29" s="136">
        <f t="shared" si="4"/>
        <v>0</v>
      </c>
      <c r="AP29" s="136">
        <f t="shared" si="4"/>
        <v>0</v>
      </c>
      <c r="AQ29" s="136">
        <f t="shared" si="4"/>
        <v>0</v>
      </c>
      <c r="AR29" s="136">
        <f t="shared" si="4"/>
        <v>0</v>
      </c>
      <c r="AS29" s="136">
        <f t="shared" si="4"/>
        <v>0</v>
      </c>
      <c r="AT29" s="136">
        <f t="shared" si="4"/>
        <v>0</v>
      </c>
      <c r="AU29" s="136">
        <f t="shared" si="4"/>
        <v>0</v>
      </c>
      <c r="AV29" s="136">
        <f t="shared" si="4"/>
        <v>0</v>
      </c>
      <c r="AW29" s="136">
        <f t="shared" si="4"/>
        <v>0</v>
      </c>
      <c r="AX29" s="136">
        <f t="shared" si="4"/>
        <v>0</v>
      </c>
      <c r="AY29" s="136">
        <f t="shared" si="4"/>
        <v>0</v>
      </c>
      <c r="AZ29" s="137"/>
      <c r="BA29" s="138"/>
      <c r="BB29" s="138"/>
      <c r="BC29" s="138"/>
      <c r="BD29" s="138"/>
      <c r="BE29" s="138"/>
      <c r="BF29" s="138"/>
    </row>
    <row r="30" spans="1:58" s="89" customFormat="1" x14ac:dyDescent="0.2">
      <c r="A30" s="131" t="s">
        <v>79</v>
      </c>
      <c r="B30" s="132" t="s">
        <v>78</v>
      </c>
      <c r="C30" s="133"/>
      <c r="D30" s="133"/>
      <c r="E30" s="134"/>
      <c r="F30" s="135"/>
      <c r="G30" s="133"/>
      <c r="H30" s="133"/>
      <c r="I30" s="133"/>
      <c r="J30" s="133"/>
      <c r="K30" s="133"/>
      <c r="L30" s="133"/>
      <c r="M30" s="133"/>
      <c r="N30" s="133"/>
      <c r="O30" s="133"/>
      <c r="P30" s="133"/>
      <c r="Q30" s="133"/>
      <c r="R30" s="133"/>
      <c r="S30" s="133"/>
      <c r="T30" s="133"/>
      <c r="U30" s="133"/>
      <c r="V30" s="133"/>
      <c r="W30" s="133"/>
      <c r="X30" s="133"/>
      <c r="Y30" s="133"/>
      <c r="Z30" s="133"/>
      <c r="AA30" s="133"/>
      <c r="AB30" s="133"/>
      <c r="AC30" s="136">
        <f>SUM(AC6:AC28)</f>
        <v>0</v>
      </c>
      <c r="AD30" s="136">
        <f>SUM(AD6:AD28)</f>
        <v>0</v>
      </c>
      <c r="AE30" s="133"/>
      <c r="AF30" s="139"/>
      <c r="AG30" s="136">
        <f>SUM(AG6:AG28)</f>
        <v>0</v>
      </c>
      <c r="AH30" s="133"/>
      <c r="AI30" s="136">
        <f>SUM(AI6:AI28)</f>
        <v>0</v>
      </c>
      <c r="AJ30" s="133"/>
      <c r="AK30" s="136">
        <f>SUM(AK6:AK28)</f>
        <v>0</v>
      </c>
      <c r="AL30" s="133"/>
      <c r="AM30" s="136">
        <f>SUM(AM6:AM28)</f>
        <v>0</v>
      </c>
      <c r="AN30" s="140"/>
      <c r="AO30" s="140"/>
      <c r="AP30" s="140"/>
      <c r="AQ30" s="140"/>
      <c r="AR30" s="140"/>
      <c r="AS30" s="140"/>
      <c r="AT30" s="140"/>
      <c r="AU30" s="136">
        <f>SUM(AU6:AU28)</f>
        <v>0</v>
      </c>
      <c r="AV30" s="136">
        <f>SUM(AV6:AV28)</f>
        <v>0</v>
      </c>
      <c r="AW30" s="136">
        <f>SUM(AW6:AW28)</f>
        <v>0</v>
      </c>
      <c r="AX30" s="136">
        <f>SUM(AX6:AX28)</f>
        <v>0</v>
      </c>
      <c r="AY30" s="136">
        <f>SUM(AY6:AY28)</f>
        <v>0</v>
      </c>
      <c r="AZ30" s="137"/>
      <c r="BA30" s="138"/>
      <c r="BB30" s="138"/>
      <c r="BC30" s="138"/>
      <c r="BD30" s="138"/>
      <c r="BE30" s="138"/>
      <c r="BF30" s="138"/>
    </row>
    <row r="31" spans="1:58" x14ac:dyDescent="0.2">
      <c r="B31" s="141"/>
      <c r="C31" s="107"/>
      <c r="D31" s="107"/>
      <c r="E31" s="142"/>
      <c r="F31" s="86"/>
      <c r="G31" s="107"/>
      <c r="H31" s="107"/>
      <c r="I31" s="107"/>
      <c r="J31" s="107"/>
      <c r="K31" s="107"/>
      <c r="L31" s="107"/>
      <c r="M31" s="107"/>
      <c r="N31" s="107"/>
      <c r="O31" s="107"/>
      <c r="P31" s="107"/>
      <c r="Q31" s="107"/>
      <c r="R31" s="107"/>
      <c r="S31" s="107"/>
      <c r="T31" s="107"/>
      <c r="U31" s="107"/>
      <c r="V31" s="107"/>
      <c r="W31" s="107"/>
      <c r="X31" s="107"/>
      <c r="Y31" s="107"/>
      <c r="Z31" s="107"/>
      <c r="AA31" s="107"/>
      <c r="AB31" s="107"/>
      <c r="AC31" s="143"/>
      <c r="AD31" s="143"/>
      <c r="AE31" s="144"/>
      <c r="AF31" s="145"/>
      <c r="AG31" s="144"/>
      <c r="AH31" s="144"/>
      <c r="AI31" s="144"/>
      <c r="AJ31" s="144"/>
      <c r="AK31" s="144"/>
      <c r="AL31" s="144"/>
      <c r="AM31" s="144"/>
      <c r="AN31" s="144"/>
      <c r="AO31" s="144"/>
      <c r="AP31" s="144"/>
      <c r="AQ31" s="144"/>
      <c r="AR31" s="144"/>
      <c r="AS31" s="144"/>
      <c r="AT31" s="144"/>
      <c r="AU31" s="144"/>
      <c r="AV31" s="144"/>
      <c r="AW31" s="144"/>
      <c r="AX31" s="144"/>
      <c r="AY31" s="144"/>
    </row>
    <row r="33" spans="2:51" s="146" customFormat="1" ht="17.100000000000001" customHeight="1" x14ac:dyDescent="0.2">
      <c r="B33" s="840" t="s">
        <v>80</v>
      </c>
      <c r="C33" s="840"/>
      <c r="D33" s="840"/>
      <c r="E33" s="840"/>
      <c r="F33" s="840"/>
      <c r="G33" s="840"/>
      <c r="H33" s="840"/>
      <c r="I33" s="840"/>
      <c r="J33" s="840"/>
      <c r="K33" s="840"/>
      <c r="L33" s="840"/>
      <c r="M33" s="840"/>
      <c r="N33" s="840"/>
      <c r="O33" s="840"/>
    </row>
    <row r="34" spans="2:51" ht="17.100000000000001" customHeight="1" x14ac:dyDescent="0.2">
      <c r="B34" s="81" t="s">
        <v>81</v>
      </c>
      <c r="C34" s="83"/>
      <c r="D34" s="83"/>
      <c r="E34" s="83"/>
      <c r="F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row>
    <row r="35" spans="2:51" ht="17.100000000000001" customHeight="1" x14ac:dyDescent="0.2">
      <c r="B35" s="81" t="s">
        <v>82</v>
      </c>
      <c r="C35" s="83"/>
      <c r="D35" s="83"/>
      <c r="E35" s="83"/>
      <c r="F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row>
    <row r="36" spans="2:51" ht="17.100000000000001" customHeight="1" x14ac:dyDescent="0.2">
      <c r="B36" s="81" t="s">
        <v>83</v>
      </c>
      <c r="C36" s="83"/>
      <c r="D36" s="83"/>
      <c r="E36" s="83"/>
      <c r="F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row>
    <row r="37" spans="2:51" s="146" customFormat="1" ht="17.100000000000001" customHeight="1" x14ac:dyDescent="0.2">
      <c r="B37" s="147" t="s">
        <v>84</v>
      </c>
      <c r="C37" s="147"/>
      <c r="D37" s="147"/>
      <c r="E37" s="147"/>
      <c r="F37" s="147"/>
      <c r="G37" s="147"/>
      <c r="H37" s="147"/>
      <c r="I37" s="147"/>
      <c r="J37" s="147"/>
      <c r="K37" s="147"/>
      <c r="L37" s="147"/>
      <c r="M37" s="147"/>
      <c r="N37" s="147"/>
      <c r="O37" s="147"/>
    </row>
    <row r="38" spans="2:51" ht="17.100000000000001" customHeight="1" x14ac:dyDescent="0.2">
      <c r="B38" s="81" t="s">
        <v>85</v>
      </c>
      <c r="C38" s="83"/>
      <c r="D38" s="83"/>
      <c r="E38" s="83"/>
      <c r="F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row>
    <row r="39" spans="2:51" x14ac:dyDescent="0.2">
      <c r="B39" s="81"/>
      <c r="C39" s="83"/>
      <c r="D39" s="83"/>
      <c r="E39" s="83"/>
      <c r="F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row>
    <row r="40" spans="2:51" ht="17.100000000000001" customHeight="1" x14ac:dyDescent="0.2">
      <c r="B40" s="89" t="s">
        <v>86</v>
      </c>
      <c r="C40" s="83"/>
      <c r="D40" s="83"/>
      <c r="E40" s="83"/>
      <c r="F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row>
    <row r="41" spans="2:51" ht="17.100000000000001" customHeight="1" x14ac:dyDescent="0.2">
      <c r="B41" s="89" t="s">
        <v>87</v>
      </c>
      <c r="C41" s="83"/>
      <c r="D41" s="83"/>
      <c r="E41" s="83"/>
      <c r="F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row>
    <row r="42" spans="2:51" ht="17.100000000000001" customHeight="1" x14ac:dyDescent="0.2">
      <c r="B42" s="89" t="s">
        <v>88</v>
      </c>
      <c r="C42" s="83"/>
      <c r="D42" s="83"/>
      <c r="E42" s="83"/>
      <c r="F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row>
    <row r="43" spans="2:51" ht="17.100000000000001" customHeight="1" x14ac:dyDescent="0.2">
      <c r="B43" s="89" t="s">
        <v>89</v>
      </c>
      <c r="C43" s="83"/>
      <c r="D43" s="83"/>
      <c r="E43" s="83"/>
      <c r="F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row>
    <row r="44" spans="2:51" ht="17.100000000000001" customHeight="1" x14ac:dyDescent="0.2">
      <c r="B44" s="89" t="s">
        <v>90</v>
      </c>
      <c r="C44" s="83"/>
      <c r="D44" s="83"/>
      <c r="E44" s="83"/>
      <c r="F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row>
    <row r="45" spans="2:51" ht="17.100000000000001" customHeight="1" x14ac:dyDescent="0.2">
      <c r="B45" s="89" t="s">
        <v>91</v>
      </c>
      <c r="C45" s="83"/>
      <c r="D45" s="83"/>
      <c r="E45" s="83"/>
      <c r="F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row>
    <row r="46" spans="2:51" ht="17.100000000000001" customHeight="1" x14ac:dyDescent="0.2">
      <c r="B46" s="89" t="s">
        <v>92</v>
      </c>
      <c r="C46" s="83"/>
      <c r="D46" s="83"/>
      <c r="E46" s="83"/>
      <c r="F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row>
    <row r="47" spans="2:51" ht="17.100000000000001" customHeight="1" x14ac:dyDescent="0.2">
      <c r="B47" s="89" t="s">
        <v>93</v>
      </c>
      <c r="C47" s="83"/>
      <c r="D47" s="83"/>
      <c r="E47" s="83"/>
      <c r="F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row>
    <row r="48" spans="2:51" ht="17.100000000000001" customHeight="1" x14ac:dyDescent="0.2">
      <c r="B48" s="89" t="s">
        <v>94</v>
      </c>
      <c r="C48" s="83"/>
      <c r="D48" s="83"/>
      <c r="E48" s="83"/>
      <c r="F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row>
    <row r="49" spans="2:51" ht="17.100000000000001" customHeight="1" x14ac:dyDescent="0.2">
      <c r="B49" s="89" t="s">
        <v>95</v>
      </c>
      <c r="C49" s="83"/>
      <c r="D49" s="83"/>
      <c r="E49" s="83"/>
      <c r="F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row>
  </sheetData>
  <mergeCells count="3">
    <mergeCell ref="B4:H4"/>
    <mergeCell ref="I4:O4"/>
    <mergeCell ref="B33:O33"/>
  </mergeCells>
  <pageMargins left="0.17" right="0.16" top="0.42" bottom="0.31" header="7.2911220195948004E-303" footer="3.6163965724376999E-301"/>
  <pageSetup scale="55" firstPageNumber="0" fitToHeight="0" orientation="landscape" horizontalDpi="1574" r:id="rId1"/>
  <headerFooter alignWithMargins="0">
    <oddHeader>&amp;L&amp;Z&amp;F&amp;R&amp;D</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Ruler="0" zoomScaleNormal="100" workbookViewId="0">
      <selection activeCell="G13" sqref="G13"/>
    </sheetView>
  </sheetViews>
  <sheetFormatPr defaultRowHeight="12.75" x14ac:dyDescent="0.2"/>
  <cols>
    <col min="1" max="1" width="17.5703125" style="153" customWidth="1"/>
    <col min="2" max="2" width="44.28515625" style="153" customWidth="1"/>
    <col min="3" max="3" width="1.140625" style="154" customWidth="1"/>
    <col min="4" max="4" width="14.7109375" style="153" customWidth="1"/>
    <col min="5" max="5" width="11.140625" style="153" customWidth="1"/>
    <col min="6" max="6" width="0.85546875" style="154" customWidth="1"/>
    <col min="7" max="7" width="14.7109375" style="153" customWidth="1"/>
    <col min="8" max="8" width="11.28515625" style="153" customWidth="1"/>
    <col min="9" max="9" width="16.42578125" style="153" customWidth="1"/>
    <col min="10" max="10" width="0.85546875" style="154" customWidth="1"/>
    <col min="11" max="11" width="14.7109375" style="153" customWidth="1"/>
    <col min="12" max="12" width="11.28515625" style="153" bestFit="1" customWidth="1"/>
    <col min="13" max="13" width="16.7109375" style="153" customWidth="1"/>
    <col min="14" max="16384" width="9.140625" style="153"/>
  </cols>
  <sheetData>
    <row r="1" spans="1:13" ht="21" customHeight="1" x14ac:dyDescent="0.25">
      <c r="A1" s="152" t="s">
        <v>96</v>
      </c>
    </row>
    <row r="2" spans="1:13" ht="20.25" customHeight="1" x14ac:dyDescent="0.2">
      <c r="A2" s="155" t="s">
        <v>1</v>
      </c>
    </row>
    <row r="3" spans="1:13" ht="14.25" x14ac:dyDescent="0.2">
      <c r="A3" s="155"/>
    </row>
    <row r="4" spans="1:13" ht="15" thickBot="1" x14ac:dyDescent="0.25">
      <c r="A4" s="155"/>
    </row>
    <row r="5" spans="1:13" ht="23.25" customHeight="1" thickBot="1" x14ac:dyDescent="0.25">
      <c r="C5" s="156"/>
      <c r="D5" s="841" t="s">
        <v>97</v>
      </c>
      <c r="E5" s="842"/>
      <c r="F5" s="156"/>
      <c r="G5" s="841" t="s">
        <v>98</v>
      </c>
      <c r="H5" s="843"/>
      <c r="I5" s="842"/>
      <c r="J5" s="156"/>
      <c r="K5" s="841" t="s">
        <v>99</v>
      </c>
      <c r="L5" s="843"/>
      <c r="M5" s="842"/>
    </row>
    <row r="6" spans="1:13" s="162" customFormat="1" ht="39" thickBot="1" x14ac:dyDescent="0.25">
      <c r="A6" s="157" t="s">
        <v>100</v>
      </c>
      <c r="B6" s="157" t="s">
        <v>101</v>
      </c>
      <c r="C6" s="158"/>
      <c r="D6" s="159" t="s">
        <v>52</v>
      </c>
      <c r="E6" s="160" t="s">
        <v>102</v>
      </c>
      <c r="F6" s="158"/>
      <c r="G6" s="159" t="s">
        <v>52</v>
      </c>
      <c r="H6" s="161" t="s">
        <v>102</v>
      </c>
      <c r="I6" s="160" t="s">
        <v>103</v>
      </c>
      <c r="J6" s="158"/>
      <c r="K6" s="159" t="s">
        <v>52</v>
      </c>
      <c r="L6" s="161" t="s">
        <v>102</v>
      </c>
      <c r="M6" s="160" t="s">
        <v>103</v>
      </c>
    </row>
    <row r="7" spans="1:13" ht="38.25" x14ac:dyDescent="0.2">
      <c r="A7" s="163" t="s">
        <v>104</v>
      </c>
      <c r="B7" s="164" t="s">
        <v>105</v>
      </c>
      <c r="C7" s="165"/>
      <c r="D7" s="166" t="s">
        <v>74</v>
      </c>
      <c r="E7" s="167">
        <v>1257000</v>
      </c>
      <c r="F7" s="168"/>
      <c r="G7" s="166" t="s">
        <v>74</v>
      </c>
      <c r="H7" s="169">
        <v>1257000</v>
      </c>
      <c r="I7" s="170" t="s">
        <v>106</v>
      </c>
      <c r="J7" s="168"/>
      <c r="K7" s="166" t="s">
        <v>74</v>
      </c>
      <c r="L7" s="169">
        <v>1257000</v>
      </c>
      <c r="M7" s="170" t="s">
        <v>106</v>
      </c>
    </row>
    <row r="8" spans="1:13" ht="30" customHeight="1" x14ac:dyDescent="0.2">
      <c r="A8" s="171"/>
      <c r="B8" s="172"/>
      <c r="C8" s="173"/>
      <c r="D8" s="174"/>
      <c r="E8" s="175"/>
      <c r="F8" s="165"/>
      <c r="G8" s="174"/>
      <c r="H8" s="176"/>
      <c r="I8" s="177"/>
      <c r="J8" s="165"/>
      <c r="K8" s="174"/>
      <c r="L8" s="176"/>
      <c r="M8" s="177"/>
    </row>
    <row r="9" spans="1:13" ht="30" customHeight="1" x14ac:dyDescent="0.2">
      <c r="A9" s="178"/>
      <c r="B9" s="179"/>
      <c r="C9" s="173"/>
      <c r="D9" s="180"/>
      <c r="E9" s="181"/>
      <c r="F9" s="165"/>
      <c r="G9" s="182"/>
      <c r="H9" s="183"/>
      <c r="I9" s="184"/>
      <c r="J9" s="165"/>
      <c r="K9" s="182"/>
      <c r="L9" s="183"/>
      <c r="M9" s="184"/>
    </row>
    <row r="10" spans="1:13" ht="30" customHeight="1" x14ac:dyDescent="0.2">
      <c r="A10" s="178"/>
      <c r="B10" s="179"/>
      <c r="C10" s="173"/>
      <c r="D10" s="180"/>
      <c r="E10" s="181"/>
      <c r="F10" s="165"/>
      <c r="G10" s="182"/>
      <c r="H10" s="183"/>
      <c r="I10" s="184"/>
      <c r="J10" s="165"/>
      <c r="K10" s="182"/>
      <c r="L10" s="183"/>
      <c r="M10" s="184"/>
    </row>
    <row r="11" spans="1:13" ht="30" customHeight="1" x14ac:dyDescent="0.2">
      <c r="A11" s="178"/>
      <c r="B11" s="179"/>
      <c r="C11" s="173"/>
      <c r="D11" s="180"/>
      <c r="E11" s="181"/>
      <c r="F11" s="165"/>
      <c r="G11" s="182"/>
      <c r="H11" s="183"/>
      <c r="I11" s="184"/>
      <c r="J11" s="165"/>
      <c r="K11" s="182"/>
      <c r="L11" s="183"/>
      <c r="M11" s="184"/>
    </row>
    <row r="12" spans="1:13" ht="30" customHeight="1" x14ac:dyDescent="0.2">
      <c r="A12" s="178"/>
      <c r="B12" s="179"/>
      <c r="C12" s="173"/>
      <c r="D12" s="180"/>
      <c r="E12" s="181"/>
      <c r="F12" s="165"/>
      <c r="G12" s="182"/>
      <c r="H12" s="183"/>
      <c r="I12" s="184"/>
      <c r="J12" s="165"/>
      <c r="K12" s="182"/>
      <c r="L12" s="183"/>
      <c r="M12" s="184"/>
    </row>
    <row r="13" spans="1:13" ht="30" customHeight="1" x14ac:dyDescent="0.2">
      <c r="A13" s="178"/>
      <c r="B13" s="179"/>
      <c r="C13" s="173"/>
      <c r="D13" s="180"/>
      <c r="E13" s="181"/>
      <c r="F13" s="165"/>
      <c r="G13" s="182"/>
      <c r="H13" s="183"/>
      <c r="I13" s="184"/>
      <c r="J13" s="165"/>
      <c r="K13" s="182"/>
      <c r="L13" s="183"/>
      <c r="M13" s="184"/>
    </row>
    <row r="14" spans="1:13" ht="30" customHeight="1" x14ac:dyDescent="0.2">
      <c r="A14" s="178"/>
      <c r="B14" s="179"/>
      <c r="C14" s="173"/>
      <c r="D14" s="180"/>
      <c r="E14" s="181"/>
      <c r="F14" s="165"/>
      <c r="G14" s="182"/>
      <c r="H14" s="183"/>
      <c r="I14" s="184"/>
      <c r="J14" s="165"/>
      <c r="K14" s="182"/>
      <c r="L14" s="183"/>
      <c r="M14" s="184"/>
    </row>
    <row r="15" spans="1:13" ht="30" customHeight="1" x14ac:dyDescent="0.2">
      <c r="A15" s="178"/>
      <c r="B15" s="179"/>
      <c r="C15" s="173"/>
      <c r="D15" s="180"/>
      <c r="E15" s="181"/>
      <c r="F15" s="165"/>
      <c r="G15" s="182"/>
      <c r="H15" s="183"/>
      <c r="I15" s="184"/>
      <c r="J15" s="165"/>
      <c r="K15" s="182"/>
      <c r="L15" s="183"/>
      <c r="M15" s="184"/>
    </row>
    <row r="16" spans="1:13" ht="30" customHeight="1" x14ac:dyDescent="0.2">
      <c r="A16" s="178"/>
      <c r="B16" s="179"/>
      <c r="C16" s="173"/>
      <c r="D16" s="180"/>
      <c r="E16" s="181"/>
      <c r="F16" s="165"/>
      <c r="G16" s="182"/>
      <c r="H16" s="183"/>
      <c r="I16" s="184"/>
      <c r="J16" s="165"/>
      <c r="K16" s="182"/>
      <c r="L16" s="183"/>
      <c r="M16" s="184"/>
    </row>
    <row r="17" spans="1:13" ht="30" customHeight="1" x14ac:dyDescent="0.2">
      <c r="A17" s="178"/>
      <c r="B17" s="179"/>
      <c r="C17" s="173"/>
      <c r="D17" s="180"/>
      <c r="E17" s="181"/>
      <c r="F17" s="165"/>
      <c r="G17" s="182"/>
      <c r="H17" s="183"/>
      <c r="I17" s="184"/>
      <c r="J17" s="165"/>
      <c r="K17" s="182"/>
      <c r="L17" s="183"/>
      <c r="M17" s="184"/>
    </row>
    <row r="18" spans="1:13" ht="16.5" thickBot="1" x14ac:dyDescent="0.3">
      <c r="A18" s="185" t="s">
        <v>78</v>
      </c>
      <c r="B18" s="186"/>
      <c r="C18" s="165"/>
      <c r="D18" s="187"/>
      <c r="E18" s="188">
        <f>SUM(E8:E17)</f>
        <v>0</v>
      </c>
      <c r="F18" s="165"/>
      <c r="G18" s="189"/>
      <c r="H18" s="190">
        <f>SUM(H8:H17)</f>
        <v>0</v>
      </c>
      <c r="I18" s="191"/>
      <c r="J18" s="165"/>
      <c r="K18" s="189"/>
      <c r="L18" s="190">
        <f>SUM(L8:L17)</f>
        <v>0</v>
      </c>
      <c r="M18" s="191"/>
    </row>
    <row r="19" spans="1:13" ht="6" customHeight="1" x14ac:dyDescent="0.2"/>
    <row r="20" spans="1:13" x14ac:dyDescent="0.2">
      <c r="A20" s="192" t="s">
        <v>107</v>
      </c>
    </row>
    <row r="21" spans="1:13" x14ac:dyDescent="0.2">
      <c r="A21" s="153" t="s">
        <v>108</v>
      </c>
    </row>
    <row r="22" spans="1:13" x14ac:dyDescent="0.2">
      <c r="A22" s="153" t="s">
        <v>109</v>
      </c>
    </row>
    <row r="23" spans="1:13" x14ac:dyDescent="0.2">
      <c r="A23" s="153" t="s">
        <v>110</v>
      </c>
    </row>
  </sheetData>
  <mergeCells count="3">
    <mergeCell ref="D5:E5"/>
    <mergeCell ref="G5:I5"/>
    <mergeCell ref="K5:M5"/>
  </mergeCells>
  <printOptions horizontalCentered="1"/>
  <pageMargins left="0.5" right="0.5" top="0.75" bottom="1" header="0.5" footer="0.5"/>
  <pageSetup scale="7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90" zoomScaleNormal="90" zoomScaleSheetLayoutView="75" workbookViewId="0">
      <selection activeCell="K22" sqref="K22"/>
    </sheetView>
  </sheetViews>
  <sheetFormatPr defaultRowHeight="12.75" x14ac:dyDescent="0.2"/>
  <cols>
    <col min="1" max="1" width="8.28515625" style="218" customWidth="1"/>
    <col min="2" max="2" width="12.140625" style="218" customWidth="1"/>
    <col min="3" max="3" width="16.85546875" style="218" customWidth="1"/>
    <col min="4" max="4" width="26.42578125" style="218" customWidth="1"/>
    <col min="5" max="5" width="17.5703125" style="218" customWidth="1"/>
    <col min="6" max="6" width="19.42578125" style="218" bestFit="1" customWidth="1"/>
    <col min="7" max="7" width="23.42578125" style="218" customWidth="1"/>
    <col min="8" max="8" width="14.42578125" style="218" customWidth="1"/>
    <col min="9" max="9" width="14.7109375" style="218" customWidth="1"/>
    <col min="10" max="10" width="17.42578125" style="218" customWidth="1"/>
    <col min="11" max="11" width="27.140625" style="218" customWidth="1"/>
    <col min="12" max="12" width="35.7109375" style="218" customWidth="1"/>
    <col min="13" max="16384" width="9.140625" style="218"/>
  </cols>
  <sheetData>
    <row r="1" spans="1:12" ht="18" x14ac:dyDescent="0.2">
      <c r="A1" s="1" t="s">
        <v>520</v>
      </c>
      <c r="B1" s="550"/>
    </row>
    <row r="2" spans="1:12" ht="15" x14ac:dyDescent="0.2">
      <c r="A2" s="551" t="s">
        <v>1</v>
      </c>
      <c r="B2" s="552"/>
    </row>
    <row r="3" spans="1:12" ht="14.25" x14ac:dyDescent="0.2">
      <c r="A3" s="7"/>
      <c r="B3" s="7"/>
      <c r="C3" s="3"/>
      <c r="D3" s="3"/>
      <c r="E3" s="3"/>
      <c r="F3" s="3"/>
      <c r="G3" s="3"/>
      <c r="H3" s="3"/>
      <c r="I3" s="3"/>
      <c r="J3" s="3"/>
    </row>
    <row r="4" spans="1:12" ht="14.25" x14ac:dyDescent="0.2">
      <c r="A4" s="3" t="s">
        <v>521</v>
      </c>
      <c r="B4" s="3"/>
      <c r="C4" s="3"/>
      <c r="D4" s="3"/>
      <c r="F4" s="3" t="s">
        <v>522</v>
      </c>
      <c r="G4" s="3"/>
      <c r="H4" s="3"/>
      <c r="I4" s="3"/>
      <c r="J4" s="3"/>
    </row>
    <row r="5" spans="1:12" ht="14.25" x14ac:dyDescent="0.2">
      <c r="A5" s="3"/>
      <c r="B5" s="3"/>
      <c r="C5" s="3"/>
      <c r="D5" s="3"/>
      <c r="E5" s="3"/>
      <c r="F5" s="3"/>
      <c r="G5" s="3"/>
      <c r="H5" s="3"/>
      <c r="I5" s="3"/>
      <c r="J5" s="3"/>
    </row>
    <row r="6" spans="1:12" ht="14.25" x14ac:dyDescent="0.2">
      <c r="A6" s="3" t="s">
        <v>523</v>
      </c>
      <c r="B6" s="3"/>
      <c r="C6" s="3"/>
      <c r="D6" s="3"/>
      <c r="E6" s="3"/>
      <c r="F6" s="553"/>
      <c r="G6" s="553"/>
      <c r="H6" s="553"/>
      <c r="I6" s="553"/>
      <c r="J6" s="553"/>
    </row>
    <row r="7" spans="1:12" ht="14.25" x14ac:dyDescent="0.2">
      <c r="A7" s="3"/>
      <c r="B7" s="3"/>
      <c r="C7" s="3"/>
      <c r="D7" s="3"/>
      <c r="E7" s="3"/>
      <c r="F7" s="3"/>
      <c r="G7" s="3"/>
      <c r="H7" s="3"/>
      <c r="I7" s="3"/>
      <c r="J7" s="3"/>
    </row>
    <row r="8" spans="1:12" ht="14.25" x14ac:dyDescent="0.2">
      <c r="A8" s="3"/>
      <c r="B8" s="3"/>
      <c r="C8" s="3"/>
      <c r="D8" s="3"/>
      <c r="E8" s="3"/>
      <c r="F8" s="3"/>
      <c r="G8" s="3"/>
      <c r="H8" s="3"/>
      <c r="I8" s="3"/>
      <c r="J8" s="3"/>
    </row>
    <row r="9" spans="1:12" ht="18" x14ac:dyDescent="0.2">
      <c r="A9" s="1" t="s">
        <v>524</v>
      </c>
      <c r="B9" s="7"/>
      <c r="C9" s="3"/>
      <c r="D9" s="3"/>
      <c r="E9" s="3"/>
      <c r="F9" s="3"/>
      <c r="G9" s="3"/>
      <c r="H9" s="3"/>
      <c r="I9" s="3"/>
      <c r="J9" s="3"/>
    </row>
    <row r="10" spans="1:12" ht="18" x14ac:dyDescent="0.2">
      <c r="A10" s="1" t="s">
        <v>525</v>
      </c>
      <c r="B10" s="7"/>
      <c r="C10" s="3"/>
      <c r="D10" s="3"/>
      <c r="E10" s="3"/>
      <c r="F10" s="3"/>
      <c r="G10" s="553"/>
      <c r="H10" s="553"/>
      <c r="I10" s="3"/>
      <c r="J10" s="3"/>
    </row>
    <row r="11" spans="1:12" ht="14.25" x14ac:dyDescent="0.2">
      <c r="A11" s="7" t="s">
        <v>526</v>
      </c>
      <c r="B11" s="7"/>
      <c r="C11" s="3"/>
      <c r="D11" s="3"/>
      <c r="E11" s="3"/>
      <c r="F11" s="3"/>
      <c r="G11" s="3"/>
      <c r="H11" s="3"/>
      <c r="I11" s="3"/>
      <c r="J11" s="3"/>
    </row>
    <row r="12" spans="1:12" ht="14.25" x14ac:dyDescent="0.2">
      <c r="A12" s="212" t="s">
        <v>527</v>
      </c>
      <c r="B12" s="212"/>
      <c r="C12" s="3"/>
      <c r="D12" s="3"/>
      <c r="E12" s="3"/>
      <c r="F12" s="3"/>
      <c r="G12" s="3"/>
      <c r="H12" s="3"/>
      <c r="I12" s="3"/>
      <c r="J12" s="3"/>
    </row>
    <row r="13" spans="1:12" ht="14.25" x14ac:dyDescent="0.2">
      <c r="A13" s="212" t="s">
        <v>528</v>
      </c>
      <c r="B13" s="212"/>
      <c r="C13" s="3"/>
      <c r="D13" s="3"/>
      <c r="E13" s="3"/>
      <c r="F13" s="3"/>
      <c r="G13" s="3"/>
      <c r="H13" s="3"/>
      <c r="I13" s="3"/>
      <c r="J13" s="3"/>
    </row>
    <row r="14" spans="1:12" ht="15" thickBot="1" x14ac:dyDescent="0.25">
      <c r="A14" s="554" t="s">
        <v>529</v>
      </c>
      <c r="B14" s="554"/>
      <c r="C14" s="553"/>
      <c r="D14" s="553"/>
      <c r="E14" s="553"/>
      <c r="F14" s="553"/>
      <c r="G14" s="553"/>
      <c r="H14" s="553"/>
      <c r="I14" s="553"/>
      <c r="J14" s="3"/>
    </row>
    <row r="15" spans="1:12" ht="18.75" thickBot="1" x14ac:dyDescent="0.25">
      <c r="B15" s="1"/>
      <c r="C15" s="7"/>
      <c r="D15" s="3"/>
      <c r="E15" s="3"/>
      <c r="F15" s="3"/>
      <c r="G15" s="3"/>
      <c r="H15" s="3"/>
      <c r="I15" s="3"/>
      <c r="J15" s="555" t="s">
        <v>530</v>
      </c>
      <c r="K15" s="556">
        <v>8.7499999999999994E-2</v>
      </c>
    </row>
    <row r="16" spans="1:12" s="563" customFormat="1" ht="26.25" thickBot="1" x14ac:dyDescent="0.25">
      <c r="A16" s="557" t="s">
        <v>120</v>
      </c>
      <c r="B16" s="558" t="s">
        <v>531</v>
      </c>
      <c r="C16" s="558" t="s">
        <v>57</v>
      </c>
      <c r="D16" s="558" t="s">
        <v>532</v>
      </c>
      <c r="E16" s="559" t="s">
        <v>533</v>
      </c>
      <c r="F16" s="559" t="s">
        <v>534</v>
      </c>
      <c r="G16" s="559" t="s">
        <v>535</v>
      </c>
      <c r="H16" s="558" t="s">
        <v>536</v>
      </c>
      <c r="I16" s="558" t="s">
        <v>537</v>
      </c>
      <c r="J16" s="560" t="s">
        <v>538</v>
      </c>
      <c r="K16" s="561" t="s">
        <v>539</v>
      </c>
      <c r="L16" s="562" t="s">
        <v>540</v>
      </c>
    </row>
    <row r="17" spans="1:12" ht="13.5" customHeight="1" x14ac:dyDescent="0.2">
      <c r="A17" s="793" t="s">
        <v>826</v>
      </c>
      <c r="B17" s="564"/>
      <c r="C17" s="564"/>
      <c r="D17" s="564" t="s">
        <v>813</v>
      </c>
      <c r="E17" s="564" t="s">
        <v>814</v>
      </c>
      <c r="F17" s="795" t="s">
        <v>838</v>
      </c>
      <c r="G17" s="564"/>
      <c r="H17" s="564">
        <v>1</v>
      </c>
      <c r="I17" s="817">
        <v>11000</v>
      </c>
      <c r="J17" s="818">
        <f>H17*I17</f>
        <v>11000</v>
      </c>
      <c r="K17" s="819">
        <f>J17*1.0875</f>
        <v>11962.499999999998</v>
      </c>
      <c r="L17" s="565"/>
    </row>
    <row r="18" spans="1:12" x14ac:dyDescent="0.2">
      <c r="A18" s="793" t="s">
        <v>826</v>
      </c>
      <c r="B18" s="567"/>
      <c r="C18" s="567"/>
      <c r="D18" s="567" t="s">
        <v>815</v>
      </c>
      <c r="E18" s="564" t="s">
        <v>814</v>
      </c>
      <c r="F18" s="795" t="s">
        <v>838</v>
      </c>
      <c r="G18" s="567"/>
      <c r="H18" s="567">
        <v>1</v>
      </c>
      <c r="I18" s="820">
        <v>30000</v>
      </c>
      <c r="J18" s="821">
        <f>H18*I18</f>
        <v>30000</v>
      </c>
      <c r="K18" s="819">
        <f>J18*1.0875</f>
        <v>32624.999999999996</v>
      </c>
      <c r="L18" s="569"/>
    </row>
    <row r="19" spans="1:12" x14ac:dyDescent="0.2">
      <c r="A19" s="566"/>
      <c r="B19" s="567"/>
      <c r="C19" s="567"/>
      <c r="D19" s="567"/>
      <c r="E19" s="567"/>
      <c r="F19" s="567"/>
      <c r="G19" s="567"/>
      <c r="H19" s="567"/>
      <c r="I19" s="567"/>
      <c r="J19" s="568">
        <f>H19*I19</f>
        <v>0</v>
      </c>
      <c r="K19" s="565">
        <f t="shared" ref="K19:K21" si="0">J19*1.0875</f>
        <v>0</v>
      </c>
      <c r="L19" s="569"/>
    </row>
    <row r="20" spans="1:12" x14ac:dyDescent="0.2">
      <c r="A20" s="566"/>
      <c r="B20" s="567"/>
      <c r="C20" s="567"/>
      <c r="D20" s="567"/>
      <c r="E20" s="567"/>
      <c r="F20" s="567"/>
      <c r="G20" s="567"/>
      <c r="H20" s="567"/>
      <c r="I20" s="567"/>
      <c r="J20" s="568">
        <f>H20*I20</f>
        <v>0</v>
      </c>
      <c r="K20" s="565">
        <f t="shared" si="0"/>
        <v>0</v>
      </c>
      <c r="L20" s="569"/>
    </row>
    <row r="21" spans="1:12" ht="13.5" thickBot="1" x14ac:dyDescent="0.25">
      <c r="A21" s="570"/>
      <c r="B21" s="571"/>
      <c r="C21" s="571"/>
      <c r="D21" s="571"/>
      <c r="E21" s="571"/>
      <c r="F21" s="571"/>
      <c r="G21" s="571"/>
      <c r="H21" s="571"/>
      <c r="I21" s="571"/>
      <c r="J21" s="572">
        <f>H21*I21</f>
        <v>0</v>
      </c>
      <c r="K21" s="565">
        <f t="shared" si="0"/>
        <v>0</v>
      </c>
      <c r="L21" s="573"/>
    </row>
    <row r="22" spans="1:12" ht="13.5" thickBot="1" x14ac:dyDescent="0.25">
      <c r="H22" s="574"/>
      <c r="I22" s="574"/>
      <c r="J22" s="575" t="s">
        <v>541</v>
      </c>
      <c r="K22" s="822">
        <f>SUM(K17:K21)</f>
        <v>44587.499999999993</v>
      </c>
    </row>
    <row r="23" spans="1:12" ht="14.25" x14ac:dyDescent="0.2">
      <c r="A23" s="3"/>
      <c r="B23" s="3"/>
      <c r="C23" s="3"/>
      <c r="D23" s="3"/>
      <c r="E23" s="3"/>
      <c r="F23" s="576"/>
      <c r="G23" s="576"/>
      <c r="H23" s="577"/>
      <c r="I23" s="577"/>
      <c r="J23" s="212"/>
    </row>
    <row r="24" spans="1:12" ht="18" x14ac:dyDescent="0.25">
      <c r="A24" s="203" t="s">
        <v>542</v>
      </c>
      <c r="B24" s="3"/>
      <c r="C24" s="3"/>
      <c r="D24" s="3"/>
      <c r="E24" s="3"/>
      <c r="F24" s="3"/>
      <c r="G24" s="3"/>
      <c r="H24" s="3"/>
    </row>
    <row r="25" spans="1:12" ht="14.25" x14ac:dyDescent="0.2">
      <c r="A25" s="553" t="s">
        <v>543</v>
      </c>
      <c r="B25" s="553"/>
      <c r="C25" s="553"/>
      <c r="D25" s="553"/>
      <c r="E25" s="553"/>
      <c r="F25" s="3"/>
      <c r="G25" s="3"/>
      <c r="H25" s="3"/>
    </row>
    <row r="26" spans="1:12" ht="15" thickBot="1" x14ac:dyDescent="0.25">
      <c r="A26" s="578" t="s">
        <v>544</v>
      </c>
      <c r="B26" s="554"/>
      <c r="C26" s="553"/>
      <c r="D26" s="553"/>
      <c r="E26" s="553"/>
      <c r="F26" s="553"/>
      <c r="G26" s="3"/>
      <c r="H26" s="3"/>
      <c r="I26" s="3"/>
      <c r="J26" s="3"/>
    </row>
    <row r="27" spans="1:12" ht="18.75" thickBot="1" x14ac:dyDescent="0.25">
      <c r="B27" s="1"/>
      <c r="C27" s="7"/>
      <c r="D27" s="3"/>
      <c r="E27" s="3"/>
      <c r="F27" s="3"/>
      <c r="G27" s="3"/>
      <c r="H27" s="3"/>
      <c r="I27" s="3"/>
      <c r="J27" s="555" t="s">
        <v>530</v>
      </c>
      <c r="K27" s="556">
        <v>8.7499999999999994E-2</v>
      </c>
    </row>
    <row r="28" spans="1:12" s="580" customFormat="1" ht="26.25" thickBot="1" x14ac:dyDescent="0.25">
      <c r="A28" s="579" t="s">
        <v>120</v>
      </c>
      <c r="B28" s="559" t="s">
        <v>545</v>
      </c>
      <c r="C28" s="559" t="s">
        <v>57</v>
      </c>
      <c r="D28" s="559" t="s">
        <v>532</v>
      </c>
      <c r="E28" s="559" t="s">
        <v>533</v>
      </c>
      <c r="F28" s="559" t="s">
        <v>534</v>
      </c>
      <c r="G28" s="559" t="s">
        <v>546</v>
      </c>
      <c r="H28" s="559" t="s">
        <v>536</v>
      </c>
      <c r="I28" s="559" t="s">
        <v>547</v>
      </c>
      <c r="J28" s="560" t="s">
        <v>538</v>
      </c>
      <c r="K28" s="561" t="s">
        <v>539</v>
      </c>
    </row>
    <row r="29" spans="1:12" x14ac:dyDescent="0.2">
      <c r="A29" s="793" t="s">
        <v>839</v>
      </c>
      <c r="B29" s="794"/>
      <c r="C29" s="794"/>
      <c r="D29" s="564" t="s">
        <v>813</v>
      </c>
      <c r="E29" s="564" t="s">
        <v>814</v>
      </c>
      <c r="F29" s="795" t="s">
        <v>838</v>
      </c>
      <c r="G29" s="567"/>
      <c r="H29" s="564">
        <v>1</v>
      </c>
      <c r="I29" s="817">
        <v>11000</v>
      </c>
      <c r="J29" s="821">
        <f>H29*I29</f>
        <v>11000</v>
      </c>
      <c r="K29" s="819">
        <f>J29*1.0875</f>
        <v>11962.499999999998</v>
      </c>
    </row>
    <row r="30" spans="1:12" x14ac:dyDescent="0.2">
      <c r="A30" s="793" t="s">
        <v>839</v>
      </c>
      <c r="B30" s="567"/>
      <c r="C30" s="567"/>
      <c r="D30" s="567" t="s">
        <v>815</v>
      </c>
      <c r="E30" s="564" t="s">
        <v>814</v>
      </c>
      <c r="F30" s="795" t="s">
        <v>838</v>
      </c>
      <c r="G30" s="567"/>
      <c r="H30" s="567">
        <v>1</v>
      </c>
      <c r="I30" s="820">
        <v>30000</v>
      </c>
      <c r="J30" s="821">
        <f>H30*I30</f>
        <v>30000</v>
      </c>
      <c r="K30" s="819">
        <f>J30*1.0875</f>
        <v>32624.999999999996</v>
      </c>
    </row>
    <row r="31" spans="1:12" x14ac:dyDescent="0.2">
      <c r="A31" s="566"/>
      <c r="B31" s="567"/>
      <c r="C31" s="567"/>
      <c r="D31" s="567"/>
      <c r="E31" s="567"/>
      <c r="F31" s="567"/>
      <c r="G31" s="567"/>
      <c r="H31" s="567"/>
      <c r="I31" s="567"/>
      <c r="J31" s="568">
        <f>H31*I31</f>
        <v>0</v>
      </c>
      <c r="K31" s="565">
        <f t="shared" ref="K31:K32" si="1">J31*1.0875</f>
        <v>0</v>
      </c>
      <c r="L31" s="569"/>
    </row>
    <row r="32" spans="1:12" x14ac:dyDescent="0.2">
      <c r="A32" s="566"/>
      <c r="B32" s="567"/>
      <c r="C32" s="567"/>
      <c r="D32" s="567"/>
      <c r="E32" s="567"/>
      <c r="F32" s="567"/>
      <c r="G32" s="567"/>
      <c r="H32" s="567"/>
      <c r="I32" s="567"/>
      <c r="J32" s="568">
        <f>H32*I32</f>
        <v>0</v>
      </c>
      <c r="K32" s="565">
        <f t="shared" si="1"/>
        <v>0</v>
      </c>
      <c r="L32" s="569"/>
    </row>
    <row r="33" spans="1:11" ht="13.5" thickBot="1" x14ac:dyDescent="0.25">
      <c r="A33" s="570"/>
      <c r="B33" s="571"/>
      <c r="C33" s="571"/>
      <c r="D33" s="571"/>
      <c r="E33" s="571"/>
      <c r="F33" s="571"/>
      <c r="G33" s="571"/>
      <c r="H33" s="571"/>
      <c r="I33" s="571"/>
      <c r="J33" s="572">
        <f>H33*I33</f>
        <v>0</v>
      </c>
      <c r="K33" s="565">
        <f t="shared" ref="K33" si="2">J33*1.0875</f>
        <v>0</v>
      </c>
    </row>
    <row r="34" spans="1:11" ht="13.5" thickBot="1" x14ac:dyDescent="0.25">
      <c r="G34" s="574"/>
      <c r="H34" s="574"/>
      <c r="I34" s="575"/>
      <c r="J34" s="575" t="s">
        <v>541</v>
      </c>
      <c r="K34" s="822">
        <f>SUM(K29:K33)</f>
        <v>44587.499999999993</v>
      </c>
    </row>
    <row r="35" spans="1:11" ht="21" customHeight="1" x14ac:dyDescent="0.2">
      <c r="A35" s="3"/>
      <c r="B35" s="3"/>
      <c r="C35" s="3"/>
      <c r="D35" s="3"/>
      <c r="E35" s="3"/>
      <c r="F35" s="576"/>
      <c r="G35" s="576"/>
      <c r="H35" s="577"/>
      <c r="I35" s="577"/>
      <c r="J35" s="212"/>
    </row>
  </sheetData>
  <printOptions horizontalCentered="1"/>
  <pageMargins left="0.16" right="0.16" top="0.28999999999999998" bottom="0.19" header="0.16" footer="0.17"/>
  <pageSetup paperSize="5"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G11" sqref="G11"/>
    </sheetView>
  </sheetViews>
  <sheetFormatPr defaultRowHeight="18" x14ac:dyDescent="0.25"/>
  <cols>
    <col min="1" max="16384" width="9.140625" style="259"/>
  </cols>
  <sheetData>
    <row r="1" spans="1:2" x14ac:dyDescent="0.25">
      <c r="A1" s="203" t="s">
        <v>159</v>
      </c>
    </row>
    <row r="2" spans="1:2" x14ac:dyDescent="0.25">
      <c r="A2" s="203"/>
    </row>
    <row r="4" spans="1:2" x14ac:dyDescent="0.25">
      <c r="A4" s="259" t="s">
        <v>561</v>
      </c>
    </row>
    <row r="5" spans="1:2" x14ac:dyDescent="0.25">
      <c r="B5" s="26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Form1A - MajorChangesTable</vt:lpstr>
      <vt:lpstr>Form 1B-Graphs</vt:lpstr>
      <vt:lpstr>Form 2A-Revenue Report</vt:lpstr>
      <vt:lpstr>Form 2B-Fees &amp; Fines</vt:lpstr>
      <vt:lpstr>Form 3A-Expenditure Report</vt:lpstr>
      <vt:lpstr>Form 3B-Children's Services</vt:lpstr>
      <vt:lpstr>Form 3C-Public Education Fund</vt:lpstr>
      <vt:lpstr>Form 4-Equipment</vt:lpstr>
      <vt:lpstr>Form 5-IT (Online)</vt:lpstr>
      <vt:lpstr>Form 7-Position Changes</vt:lpstr>
      <vt:lpstr>Form 8-Legislative Changes</vt:lpstr>
      <vt:lpstr>Form 9-Capital Request (Online)</vt:lpstr>
      <vt:lpstr>Form 10A-Contracts Non-ICT</vt:lpstr>
      <vt:lpstr>Form 10B-Contracts ICT</vt:lpstr>
      <vt:lpstr>FMCA</vt:lpstr>
      <vt:lpstr>Contact Sheet</vt:lpstr>
      <vt:lpstr>Prop J - Main Template</vt:lpstr>
      <vt:lpstr>Prop J Contract Cost Detail</vt:lpstr>
      <vt:lpstr>Prop J - 14-15 Main Template</vt:lpstr>
      <vt:lpstr>PropJ 1415 Contract Cost Detail</vt:lpstr>
      <vt:lpstr>Prop J Summary</vt:lpstr>
      <vt:lpstr>Prop J - Sample</vt:lpstr>
      <vt:lpstr>'Form 2B-Fees &amp; Fines'!Auto_CPI_Adjust_Yes_No</vt:lpstr>
      <vt:lpstr>'Form 2B-Fees &amp; Fines'!cpi_adj</vt:lpstr>
      <vt:lpstr>FMCA!Print_Area</vt:lpstr>
      <vt:lpstr>'Form 10A-Contracts Non-ICT'!Print_Area</vt:lpstr>
      <vt:lpstr>'Form 10B-Contracts ICT'!Print_Area</vt:lpstr>
      <vt:lpstr>'Form 2A-Revenue Report'!Print_Area</vt:lpstr>
      <vt:lpstr>'Form 2B-Fees &amp; Fines'!Print_Area</vt:lpstr>
      <vt:lpstr>'Form 3A-Expenditure Report'!Print_Area</vt:lpstr>
      <vt:lpstr>'Form 3B-Children''s Services'!Print_Area</vt:lpstr>
      <vt:lpstr>'Form 4-Equipment'!Print_Area</vt:lpstr>
      <vt:lpstr>'Form 7-Position Changes'!Print_Area</vt:lpstr>
      <vt:lpstr>'Form 8-Legislative Changes'!Print_Area</vt:lpstr>
      <vt:lpstr>'Form1A - MajorChangesTable'!Print_Area</vt:lpstr>
      <vt:lpstr>'Prop J - Main Template'!Print_Area</vt:lpstr>
      <vt:lpstr>'Prop J - Sample'!Print_Area</vt:lpstr>
      <vt:lpstr>'Prop J Contract Cost Detail'!Print_Area</vt:lpstr>
      <vt:lpstr>'Prop J Summary'!Print_Area</vt:lpstr>
      <vt:lpstr>'PropJ 1415 Contract Cost Detail'!Print_Area</vt:lpstr>
      <vt:lpstr>'Contact Sheet'!Print_Titles</vt:lpstr>
      <vt:lpstr>'Form 1B-Graphs'!Print_Titles</vt:lpstr>
      <vt:lpstr>'Form 2B-Fees &amp; Fines'!Print_Titles</vt:lpstr>
      <vt:lpstr>'Form 3B-Children''s Services'!Print_Titles</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talexander</cp:lastModifiedBy>
  <cp:lastPrinted>2013-01-28T23:23:30Z</cp:lastPrinted>
  <dcterms:created xsi:type="dcterms:W3CDTF">2012-11-20T02:58:04Z</dcterms:created>
  <dcterms:modified xsi:type="dcterms:W3CDTF">2013-01-31T16:26:20Z</dcterms:modified>
</cp:coreProperties>
</file>