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720" windowWidth="18840" windowHeight="8160" tabRatio="878"/>
  </bookViews>
  <sheets>
    <sheet name="1A Major Changes Table" sheetId="1" r:id="rId1"/>
    <sheet name="1B Graphs" sheetId="2" r:id="rId2"/>
    <sheet name="1C Position Level Org Chart " sheetId="32" r:id="rId3"/>
    <sheet name="1C High Level Chart " sheetId="33" r:id="rId4"/>
    <sheet name="2A Revenue Report" sheetId="5" r:id="rId5"/>
    <sheet name="2B Fees &amp; Fines" sheetId="6" r:id="rId6"/>
    <sheet name="2C Cost Recovery" sheetId="24" r:id="rId7"/>
    <sheet name="2D Fee Eliminations" sheetId="29" r:id="rId8"/>
    <sheet name="3A Expenditure Report" sheetId="8" r:id="rId9"/>
    <sheet name="3B Children's Services" sheetId="10" r:id="rId10"/>
    <sheet name="3C Public Education Fund" sheetId="11" r:id="rId11"/>
    <sheet name="4 Equipment" sheetId="23" r:id="rId12"/>
    <sheet name="4C Base Equipment" sheetId="28" r:id="rId13"/>
    <sheet name="5 IT (Online)" sheetId="13" r:id="rId14"/>
    <sheet name="6 Capital Request (Online)" sheetId="9" r:id="rId15"/>
    <sheet name="7 Position Changes" sheetId="14" r:id="rId16"/>
    <sheet name="Form 8-Legislative Changes" sheetId="16" r:id="rId17"/>
    <sheet name="9A Contracts Non-ICT" sheetId="17" r:id="rId18"/>
    <sheet name="9B Contracts ICT" sheetId="18" r:id="rId19"/>
    <sheet name="10 - Contingency" sheetId="27" r:id="rId20"/>
    <sheet name="FMCS100" sheetId="25" r:id="rId21"/>
    <sheet name="Prop J Summary" sheetId="19" r:id="rId22"/>
    <sheet name="Prop J Main Template" sheetId="20" r:id="rId23"/>
    <sheet name="Prop J Cost Detail" sheetId="21" r:id="rId24"/>
    <sheet name="Prop J Sample" sheetId="22" r:id="rId25"/>
    <sheet name="Contact Sheet" sheetId="26" r:id="rId26"/>
    <sheet name="Sheet1" sheetId="34"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_FilterDatabase" localSheetId="25" hidden="1">'Contact Sheet'!$B$1:$F$1</definedName>
    <definedName name="Auto_CPI_Adjust_Yes_No" localSheetId="19">'[1]Form 2B-Fees &amp; Fines'!$Q$4:$Q$5</definedName>
    <definedName name="Auto_CPI_Adjust_Yes_No" localSheetId="0">'[2]Form 2B-Fees &amp; Fines'!$Q$3:$Q$4</definedName>
    <definedName name="Auto_CPI_Adjust_Yes_No" localSheetId="3">#REF!</definedName>
    <definedName name="Auto_CPI_Adjust_Yes_No" localSheetId="2">#REF!</definedName>
    <definedName name="Auto_CPI_Adjust_Yes_No" localSheetId="4">'[3]Form 2B-Fees &amp; Fines'!$Q$4:$Q$5</definedName>
    <definedName name="Auto_CPI_Adjust_Yes_No" localSheetId="5">'2B Fees &amp; Fines'!$Q$4:$Q$5</definedName>
    <definedName name="Auto_CPI_Adjust_Yes_No" localSheetId="7">'2D Fee Eliminations'!#REF!</definedName>
    <definedName name="Auto_CPI_Adjust_Yes_No" localSheetId="9">'[4]Form 2B-Fees &amp; Fines'!$Q$4:$Q$5</definedName>
    <definedName name="Auto_CPI_Adjust_Yes_No" localSheetId="10">'[4]Form 2B-Fees &amp; Fines'!$Q$4:$Q$5</definedName>
    <definedName name="Auto_CPI_Adjust_Yes_No" localSheetId="11">'[3]Form 2B-Fees &amp; Fines'!$Q$4:$Q$5</definedName>
    <definedName name="Auto_CPI_Adjust_Yes_No" localSheetId="12">'[3]Form 2B-Fees &amp; Fines'!$Q$4:$Q$5</definedName>
    <definedName name="Auto_CPI_Adjust_Yes_No" localSheetId="13">'[3]Form 2B-Fees &amp; Fines'!$Q$4:$Q$5</definedName>
    <definedName name="Auto_CPI_Adjust_Yes_No" localSheetId="14">'[5]Form 2B-Fees &amp; Fines'!$Q$3:$Q$4</definedName>
    <definedName name="Auto_CPI_Adjust_Yes_No" localSheetId="15">'[6]Form 2B-Fees &amp; Fines'!$Q$3:$Q$4</definedName>
    <definedName name="Auto_CPI_Adjust_Yes_No" localSheetId="18">'[7]Form 2B-Fees &amp; Fines'!$Q$3:$Q$4</definedName>
    <definedName name="Auto_CPI_Adjust_Yes_No" localSheetId="25">'[5]Form 2B-Fees &amp; Fines'!$Q$3:$Q$4</definedName>
    <definedName name="Auto_CPI_Adjust_Yes_No" localSheetId="20">#REF!</definedName>
    <definedName name="Auto_CPI_Adjust_Yes_No" localSheetId="16">'[7]Form 2B-Fees &amp; Fines'!$Q$3:$Q$4</definedName>
    <definedName name="Auto_CPI_Adjust_Yes_No" localSheetId="23">'[5]Form 2B-Fees &amp; Fines'!$Q$3:$Q$4</definedName>
    <definedName name="Auto_CPI_Adjust_Yes_No" localSheetId="24">'[5]Form 2B-Fees &amp; Fines'!$Q$3:$Q$4</definedName>
    <definedName name="Auto_CPI_Adjust_Yes_No" localSheetId="21">'[5]Form 2B-Fees &amp; Fines'!$Q$3:$Q$4</definedName>
    <definedName name="Auto_CPI_Adjust_Yes_No">#REF!</definedName>
    <definedName name="cpi_adj" localSheetId="5">'2B Fees &amp; Fines'!$Q$4:$Q$5</definedName>
    <definedName name="cpi_adj" localSheetId="7">'2D Fee Eliminations'!#REF!</definedName>
    <definedName name="_xlnm.Print_Area" localSheetId="19">'10 - Contingency'!$B$2:$G$8</definedName>
    <definedName name="_xlnm.Print_Area" localSheetId="0">'1A Major Changes Table'!$B$2:$N$39</definedName>
    <definedName name="_xlnm.Print_Area" localSheetId="1">'1B Graphs'!$B$1:$J$47</definedName>
    <definedName name="_xlnm.Print_Area" localSheetId="3">'1C High Level Chart '!$B$2:$J$38</definedName>
    <definedName name="_xlnm.Print_Area" localSheetId="2">'1C Position Level Org Chart '!$B$2:$J$38</definedName>
    <definedName name="_xlnm.Print_Area" localSheetId="4">'2A Revenue Report'!$B$2:$Q$23</definedName>
    <definedName name="_xlnm.Print_Area" localSheetId="5">'2B Fees &amp; Fines'!$B:$W</definedName>
    <definedName name="_xlnm.Print_Area" localSheetId="6">'2C Cost Recovery'!$A$1:$P$175</definedName>
    <definedName name="_xlnm.Print_Area" localSheetId="7">'2D Fee Eliminations'!$B$2:$O$27</definedName>
    <definedName name="_xlnm.Print_Area" localSheetId="8">'3A Expenditure Report'!$A$1:$Q$77</definedName>
    <definedName name="_xlnm.Print_Area" localSheetId="9">'3B Children''s Services'!$B$2:$AZ$51</definedName>
    <definedName name="_xlnm.Print_Area" localSheetId="11">'4 Equipment'!$B$2:$P$39</definedName>
    <definedName name="_xlnm.Print_Area" localSheetId="12">'4C Base Equipment'!$B$2:$K$18</definedName>
    <definedName name="_xlnm.Print_Area" localSheetId="13">'5 IT (Online)'!$A$1:$N$14</definedName>
    <definedName name="_xlnm.Print_Area" localSheetId="15">'7 Position Changes'!$B$2:$R$19</definedName>
    <definedName name="_xlnm.Print_Area" localSheetId="18">'9B Contracts ICT'!$B$2:$Y$36</definedName>
    <definedName name="_xlnm.Print_Area" localSheetId="25">'Contact Sheet'!$B$1:$K$63</definedName>
    <definedName name="_xlnm.Print_Area" localSheetId="20">FMCS100!$B$4:$J$75</definedName>
    <definedName name="_xlnm.Print_Area" localSheetId="16">'Form 8-Legislative Changes'!$B$3:$F$29</definedName>
    <definedName name="_xlnm.Print_Area" localSheetId="23">'Prop J Cost Detail'!$A$1:$Q$53</definedName>
    <definedName name="_xlnm.Print_Area" localSheetId="22">'Prop J Main Template'!$A$3:$O$58</definedName>
    <definedName name="_xlnm.Print_Area" localSheetId="24">'Prop J Sample'!$B$2:$H$54</definedName>
    <definedName name="_xlnm.Print_Area" localSheetId="21">'Prop J Summary'!$A$1:$J$41</definedName>
    <definedName name="_xlnm.Print_Titles" localSheetId="5">'2B Fees &amp; Fines'!$B:$H</definedName>
    <definedName name="_xlnm.Print_Titles" localSheetId="9">'3B Children''s Services'!$C:$D,'3B Children''s Services'!$6:$6</definedName>
    <definedName name="_xlnm.Print_Titles" localSheetId="25">'Contact Sheet'!$1:$1</definedName>
    <definedName name="Request" localSheetId="19">'[8]Drop-Down Menu Lists'!$A$37:$A$39</definedName>
    <definedName name="Request" localSheetId="0">'[8]Drop-Down Menu Lists'!$A$37:$A$39</definedName>
    <definedName name="Request" localSheetId="5">'[9]Drop-Down Menu Lists'!$A$37:$A$39</definedName>
    <definedName name="Request" localSheetId="7">'[9]Drop-Down Menu Lists'!$A$37:$A$39</definedName>
    <definedName name="Request" localSheetId="9">'[9]Drop-Down Menu Lists'!$A$37:$A$39</definedName>
    <definedName name="Request" localSheetId="10">'[9]Drop-Down Menu Lists'!$A$37:$A$39</definedName>
    <definedName name="Request" localSheetId="11">'[8]Drop-Down Menu Lists'!$A$37:$A$39</definedName>
    <definedName name="Request" localSheetId="12">'[8]Drop-Down Menu Lists'!$A$37:$A$39</definedName>
    <definedName name="Request" localSheetId="15">'[8]Drop-Down Menu Lists'!$A$37:$A$39</definedName>
    <definedName name="Request" localSheetId="18">'[8]Drop-Down Menu Lists'!$A$37:$A$39</definedName>
    <definedName name="Request" localSheetId="25">'[9]Drop-Down Menu Lists'!$A$37:$A$39</definedName>
    <definedName name="Request" localSheetId="20">'[9]Drop-Down Menu Lists'!$A$37:$A$39</definedName>
    <definedName name="Request" localSheetId="16">'[8]Drop-Down Menu Lists'!$A$37:$A$39</definedName>
    <definedName name="Request">'[9]Drop-Down Menu Lists'!$A$37:$A$39</definedName>
    <definedName name="Subsystems" localSheetId="19">'[8]Drop-Down Menu Lists'!$A$2:$A$32</definedName>
    <definedName name="Subsystems" localSheetId="0">'[8]Drop-Down Menu Lists'!$A$2:$A$32</definedName>
    <definedName name="Subsystems" localSheetId="5">'[9]Drop-Down Menu Lists'!$A$2:$A$32</definedName>
    <definedName name="Subsystems" localSheetId="7">'[9]Drop-Down Menu Lists'!$A$2:$A$32</definedName>
    <definedName name="Subsystems" localSheetId="9">'[9]Drop-Down Menu Lists'!$A$2:$A$32</definedName>
    <definedName name="Subsystems" localSheetId="10">'[9]Drop-Down Menu Lists'!$A$2:$A$32</definedName>
    <definedName name="Subsystems" localSheetId="11">'[8]Drop-Down Menu Lists'!$A$2:$A$32</definedName>
    <definedName name="Subsystems" localSheetId="12">'[8]Drop-Down Menu Lists'!$A$2:$A$32</definedName>
    <definedName name="Subsystems" localSheetId="15">'[8]Drop-Down Menu Lists'!$A$2:$A$32</definedName>
    <definedName name="Subsystems" localSheetId="18">'[8]Drop-Down Menu Lists'!$A$2:$A$32</definedName>
    <definedName name="Subsystems" localSheetId="25">'[9]Drop-Down Menu Lists'!$A$2:$A$32</definedName>
    <definedName name="Subsystems" localSheetId="20">'[9]Drop-Down Menu Lists'!$A$2:$A$32</definedName>
    <definedName name="Subsystems" localSheetId="16">'[8]Drop-Down Menu Lists'!$A$2:$A$32</definedName>
    <definedName name="Subsystems">'[9]Drop-Down Menu Lists'!$A$2:$A$32</definedName>
    <definedName name="Z_2A97402D_43D0_432A_AB33_36A59CD105EE_.wvu.PrintArea" localSheetId="10" hidden="1">'3C Public Education Fund'!$B$2:$J$19</definedName>
    <definedName name="Z_451F6914_485C_41BF_BEE5_06A72394C912_.wvu.PrintArea" localSheetId="10" hidden="1">'3C Public Education Fund'!$B$2:$J$19</definedName>
    <definedName name="Z_C62F0798_8D9A_4210_8C49_488FC36F0E32_.wvu.PrintArea" localSheetId="10" hidden="1">'3C Public Education Fund'!$B$2:$J$19</definedName>
    <definedName name="Z_CB9E35AD_2586_4FE2_B6D0_7B46D802E2B1_.wvu.PrintArea" localSheetId="10" hidden="1">'3C Public Education Fund'!$B$2:$J$19</definedName>
    <definedName name="Z_D4547790_7D29_4580_8805_744EA37FDC19_.wvu.PrintArea" localSheetId="10" hidden="1">'3C Public Education Fund'!$B$2:$J$19</definedName>
  </definedNames>
  <calcPr calcId="145621"/>
</workbook>
</file>

<file path=xl/calcChain.xml><?xml version="1.0" encoding="utf-8"?>
<calcChain xmlns="http://schemas.openxmlformats.org/spreadsheetml/2006/main">
  <c r="M43" i="8" l="1"/>
  <c r="K44" i="8" l="1"/>
  <c r="J44" i="8"/>
  <c r="N44" i="8" l="1"/>
  <c r="I44" i="8"/>
  <c r="N74" i="8" l="1"/>
  <c r="J74" i="8" l="1"/>
  <c r="K74" i="8"/>
  <c r="N76" i="8"/>
  <c r="I74" i="8"/>
  <c r="L42" i="6" l="1"/>
  <c r="I76" i="8" l="1"/>
  <c r="K76" i="8"/>
  <c r="J76" i="8"/>
  <c r="M35" i="8" l="1"/>
  <c r="O35" i="8" s="1"/>
  <c r="M36" i="8"/>
  <c r="O36" i="8" s="1"/>
  <c r="L36" i="8"/>
  <c r="O17" i="14" l="1"/>
  <c r="L71" i="8"/>
  <c r="L69" i="8"/>
  <c r="M50" i="8"/>
  <c r="M51" i="8"/>
  <c r="M52" i="8"/>
  <c r="M53" i="8"/>
  <c r="M54" i="8"/>
  <c r="M55" i="8"/>
  <c r="M56" i="8"/>
  <c r="M57" i="8"/>
  <c r="M58" i="8"/>
  <c r="M59" i="8"/>
  <c r="M60" i="8"/>
  <c r="M61" i="8"/>
  <c r="M62" i="8"/>
  <c r="M63" i="8"/>
  <c r="M64" i="8"/>
  <c r="M65" i="8"/>
  <c r="O65" i="8" s="1"/>
  <c r="M66" i="8"/>
  <c r="O66" i="8" s="1"/>
  <c r="M67" i="8"/>
  <c r="O67" i="8" s="1"/>
  <c r="M68" i="8"/>
  <c r="O68" i="8" s="1"/>
  <c r="M69" i="8"/>
  <c r="O69" i="8" s="1"/>
  <c r="M70" i="8"/>
  <c r="O70" i="8" s="1"/>
  <c r="M71" i="8"/>
  <c r="O71" i="8" s="1"/>
  <c r="M72" i="8"/>
  <c r="O72" i="8" s="1"/>
  <c r="M49" i="8"/>
  <c r="L70" i="8"/>
  <c r="M74" i="8" l="1"/>
  <c r="N49" i="6"/>
  <c r="R49" i="6" s="1"/>
  <c r="N50" i="6"/>
  <c r="R50" i="6"/>
  <c r="N51" i="6"/>
  <c r="R51" i="6"/>
  <c r="N52" i="6"/>
  <c r="R52" i="6"/>
  <c r="N53" i="6"/>
  <c r="R53" i="6"/>
  <c r="N54" i="6"/>
  <c r="R54" i="6"/>
  <c r="N55" i="6"/>
  <c r="R55" i="6"/>
  <c r="N56" i="6"/>
  <c r="R56" i="6"/>
  <c r="N57" i="6"/>
  <c r="R57" i="6"/>
  <c r="N58" i="6"/>
  <c r="R58" i="6"/>
  <c r="T40" i="6"/>
  <c r="P40" i="6"/>
  <c r="L11" i="6"/>
  <c r="L12" i="6"/>
  <c r="L13" i="6"/>
  <c r="L14" i="6"/>
  <c r="L15" i="6"/>
  <c r="L16" i="6"/>
  <c r="L17" i="6"/>
  <c r="L18" i="6"/>
  <c r="L19" i="6"/>
  <c r="L20" i="6"/>
  <c r="L21" i="6"/>
  <c r="L22" i="6"/>
  <c r="L23" i="6"/>
  <c r="L24" i="6"/>
  <c r="L25" i="6"/>
  <c r="L26" i="6"/>
  <c r="L27" i="6"/>
  <c r="L28" i="6"/>
  <c r="L29" i="6"/>
  <c r="L30" i="6"/>
  <c r="L31" i="6"/>
  <c r="L32" i="6"/>
  <c r="L33" i="6"/>
  <c r="L34" i="6"/>
  <c r="L35" i="6"/>
  <c r="L36" i="6"/>
  <c r="L38" i="6"/>
  <c r="L39" i="6"/>
  <c r="L40" i="6"/>
  <c r="L41" i="6"/>
  <c r="L43" i="6"/>
  <c r="L44" i="6"/>
  <c r="M13" i="8" l="1"/>
  <c r="O13" i="8" s="1"/>
  <c r="M14" i="8"/>
  <c r="O14" i="8" s="1"/>
  <c r="M15" i="8"/>
  <c r="O15" i="8" s="1"/>
  <c r="M16" i="8"/>
  <c r="O16" i="8" s="1"/>
  <c r="M17" i="8"/>
  <c r="O17" i="8" s="1"/>
  <c r="M18" i="8"/>
  <c r="O18" i="8" s="1"/>
  <c r="M19" i="8"/>
  <c r="O19" i="8" s="1"/>
  <c r="M20" i="8"/>
  <c r="O20" i="8" s="1"/>
  <c r="M21" i="8"/>
  <c r="O21" i="8" s="1"/>
  <c r="M22" i="8"/>
  <c r="O22" i="8" s="1"/>
  <c r="M23" i="8"/>
  <c r="O23" i="8" s="1"/>
  <c r="M24" i="8"/>
  <c r="O24" i="8" s="1"/>
  <c r="M25" i="8"/>
  <c r="O25" i="8" s="1"/>
  <c r="M26" i="8"/>
  <c r="O26" i="8" s="1"/>
  <c r="M27" i="8"/>
  <c r="O27" i="8" s="1"/>
  <c r="M28" i="8"/>
  <c r="O28" i="8" s="1"/>
  <c r="M29" i="8"/>
  <c r="O29" i="8" s="1"/>
  <c r="M30" i="8"/>
  <c r="O30" i="8" s="1"/>
  <c r="M31" i="8"/>
  <c r="O31" i="8" s="1"/>
  <c r="M32" i="8"/>
  <c r="O32" i="8" s="1"/>
  <c r="M33" i="8"/>
  <c r="O33" i="8" s="1"/>
  <c r="M34" i="8"/>
  <c r="O34" i="8" s="1"/>
  <c r="M37" i="8"/>
  <c r="O37" i="8" s="1"/>
  <c r="M38" i="8"/>
  <c r="O38" i="8" s="1"/>
  <c r="M39" i="8"/>
  <c r="O39" i="8" s="1"/>
  <c r="M40" i="8"/>
  <c r="O40" i="8" s="1"/>
  <c r="M41" i="8"/>
  <c r="O41" i="8" s="1"/>
  <c r="M42" i="8"/>
  <c r="O42" i="8" s="1"/>
  <c r="M12" i="8"/>
  <c r="M44" i="8" l="1"/>
  <c r="M76" i="8"/>
  <c r="O12" i="8"/>
  <c r="O44" i="8" s="1"/>
  <c r="O23" i="23"/>
  <c r="P13" i="5"/>
  <c r="N13" i="5"/>
  <c r="G25" i="20"/>
  <c r="F25" i="20"/>
  <c r="F24" i="20"/>
  <c r="N24" i="23" l="1"/>
  <c r="O24" i="23" s="1"/>
  <c r="B20" i="19" l="1"/>
  <c r="C20" i="19"/>
  <c r="F44" i="20"/>
  <c r="G44" i="20"/>
  <c r="O61" i="8" l="1"/>
  <c r="L7" i="29" l="1"/>
  <c r="O52" i="17" l="1"/>
  <c r="P52" i="17"/>
  <c r="Q52" i="17"/>
  <c r="R52" i="17"/>
  <c r="S52" i="17"/>
  <c r="T52" i="17"/>
  <c r="U52" i="17"/>
  <c r="V52" i="17"/>
  <c r="W52" i="17"/>
  <c r="X52" i="17"/>
  <c r="N52" i="17"/>
  <c r="O27" i="17"/>
  <c r="P27" i="17"/>
  <c r="Q27" i="17"/>
  <c r="R27" i="17"/>
  <c r="S27" i="17"/>
  <c r="T27" i="17"/>
  <c r="U27" i="17"/>
  <c r="V27" i="17"/>
  <c r="W27" i="17"/>
  <c r="X27" i="17"/>
  <c r="N27" i="17"/>
  <c r="V33" i="17"/>
  <c r="V8" i="17" l="1"/>
  <c r="P14" i="5" l="1"/>
  <c r="P15" i="5"/>
  <c r="P16" i="5"/>
  <c r="P17" i="5"/>
  <c r="N14" i="5"/>
  <c r="N15" i="5"/>
  <c r="N16" i="5"/>
  <c r="N17" i="5"/>
  <c r="T11" i="6" l="1"/>
  <c r="T12" i="6"/>
  <c r="T13" i="6"/>
  <c r="T14" i="6"/>
  <c r="T15" i="6"/>
  <c r="T16" i="6"/>
  <c r="T17" i="6"/>
  <c r="T18" i="6"/>
  <c r="T19" i="6"/>
  <c r="T20" i="6"/>
  <c r="T21" i="6"/>
  <c r="T22" i="6"/>
  <c r="T23" i="6"/>
  <c r="T24" i="6"/>
  <c r="T25" i="6"/>
  <c r="T26" i="6"/>
  <c r="T27" i="6"/>
  <c r="T28" i="6"/>
  <c r="T29" i="6"/>
  <c r="T30" i="6"/>
  <c r="T31" i="6"/>
  <c r="T32" i="6"/>
  <c r="T33" i="6"/>
  <c r="T34" i="6"/>
  <c r="T35" i="6"/>
  <c r="T36" i="6"/>
  <c r="T38" i="6"/>
  <c r="T39" i="6"/>
  <c r="T41" i="6"/>
  <c r="T43" i="6"/>
  <c r="T44" i="6"/>
  <c r="T10" i="6"/>
  <c r="P11" i="6"/>
  <c r="P12" i="6"/>
  <c r="P13" i="6"/>
  <c r="P14" i="6"/>
  <c r="P15" i="6"/>
  <c r="P16" i="6"/>
  <c r="P17" i="6"/>
  <c r="P18" i="6"/>
  <c r="P19" i="6"/>
  <c r="P20" i="6"/>
  <c r="P21" i="6"/>
  <c r="P22" i="6"/>
  <c r="P23" i="6"/>
  <c r="P24" i="6"/>
  <c r="P25" i="6"/>
  <c r="P26" i="6"/>
  <c r="P27" i="6"/>
  <c r="P28" i="6"/>
  <c r="P29" i="6"/>
  <c r="P30" i="6"/>
  <c r="P31" i="6"/>
  <c r="P32" i="6"/>
  <c r="P33" i="6"/>
  <c r="P34" i="6"/>
  <c r="P35" i="6"/>
  <c r="P36" i="6"/>
  <c r="P38" i="6"/>
  <c r="P39" i="6"/>
  <c r="P41" i="6"/>
  <c r="P43" i="6"/>
  <c r="P44" i="6"/>
  <c r="P10" i="6"/>
  <c r="L10" i="6"/>
  <c r="T45" i="6" l="1"/>
  <c r="P45" i="6"/>
  <c r="L45" i="6"/>
  <c r="C22" i="19"/>
  <c r="B22" i="19"/>
  <c r="C15" i="19"/>
  <c r="B15" i="19"/>
  <c r="C13" i="19"/>
  <c r="C16" i="19" s="1"/>
  <c r="B13" i="19"/>
  <c r="B16" i="19" l="1"/>
  <c r="B25" i="19" s="1"/>
  <c r="C25" i="19"/>
  <c r="F12" i="20"/>
  <c r="G12" i="20"/>
  <c r="L13" i="8" l="1"/>
  <c r="L14" i="8"/>
  <c r="L15" i="8"/>
  <c r="L16" i="8"/>
  <c r="L17" i="8"/>
  <c r="L18" i="8"/>
  <c r="L19" i="8"/>
  <c r="L20" i="8"/>
  <c r="L21" i="8"/>
  <c r="L22" i="8"/>
  <c r="L23" i="8"/>
  <c r="L24" i="8"/>
  <c r="L25" i="8"/>
  <c r="L26" i="8"/>
  <c r="L27" i="8"/>
  <c r="L28" i="8"/>
  <c r="L29" i="8"/>
  <c r="L30" i="8"/>
  <c r="L31" i="8"/>
  <c r="L32" i="8"/>
  <c r="L33" i="8"/>
  <c r="L34" i="8"/>
  <c r="L35" i="8"/>
  <c r="L37" i="8"/>
  <c r="L38" i="8"/>
  <c r="L39" i="8"/>
  <c r="L40" i="8"/>
  <c r="L41" i="8"/>
  <c r="L42" i="8"/>
  <c r="O50" i="8"/>
  <c r="O51" i="8"/>
  <c r="O52" i="8"/>
  <c r="O53" i="8"/>
  <c r="O54" i="8"/>
  <c r="O55" i="8"/>
  <c r="O56" i="8"/>
  <c r="O57" i="8"/>
  <c r="O58" i="8"/>
  <c r="O59" i="8"/>
  <c r="O60" i="8"/>
  <c r="O62" i="8"/>
  <c r="O63" i="8"/>
  <c r="O64" i="8"/>
  <c r="L50" i="8"/>
  <c r="L51" i="8"/>
  <c r="L52" i="8"/>
  <c r="L53" i="8"/>
  <c r="L54" i="8"/>
  <c r="L55" i="8"/>
  <c r="L56" i="8"/>
  <c r="L57" i="8"/>
  <c r="L58" i="8"/>
  <c r="L59" i="8"/>
  <c r="L60" i="8"/>
  <c r="L61" i="8"/>
  <c r="L62" i="8"/>
  <c r="L63" i="8"/>
  <c r="L64" i="8"/>
  <c r="L65" i="8"/>
  <c r="L66" i="8"/>
  <c r="L67" i="8"/>
  <c r="L68" i="8"/>
  <c r="L72" i="8"/>
  <c r="B8" i="29" l="1"/>
  <c r="B9" i="29" s="1"/>
  <c r="B10" i="29" s="1"/>
  <c r="B11" i="29" s="1"/>
  <c r="B12" i="29" s="1"/>
  <c r="B13" i="29" s="1"/>
  <c r="B14" i="29" s="1"/>
  <c r="B15" i="29" s="1"/>
  <c r="B16" i="29" s="1"/>
  <c r="K54" i="24" l="1"/>
  <c r="K32" i="24"/>
  <c r="C170" i="24"/>
  <c r="C162" i="24"/>
  <c r="C154" i="24"/>
  <c r="F144" i="24"/>
  <c r="E144" i="24"/>
  <c r="C144" i="24"/>
  <c r="B144" i="24"/>
  <c r="F143" i="24"/>
  <c r="E143" i="24"/>
  <c r="G143" i="24" s="1"/>
  <c r="C143" i="24"/>
  <c r="B143" i="24"/>
  <c r="F142" i="24"/>
  <c r="E142" i="24"/>
  <c r="C142" i="24"/>
  <c r="B142" i="24"/>
  <c r="F141" i="24"/>
  <c r="E141" i="24"/>
  <c r="C141" i="24"/>
  <c r="B141" i="24"/>
  <c r="C116" i="24"/>
  <c r="L30" i="24" s="1"/>
  <c r="C108" i="24"/>
  <c r="L29" i="24" s="1"/>
  <c r="C100" i="24"/>
  <c r="L28" i="24" s="1"/>
  <c r="F90" i="24"/>
  <c r="E90" i="24"/>
  <c r="G90" i="24" s="1"/>
  <c r="C90" i="24"/>
  <c r="B90" i="24"/>
  <c r="F89" i="24"/>
  <c r="E89" i="24"/>
  <c r="C89" i="24"/>
  <c r="B89" i="24"/>
  <c r="F88" i="24"/>
  <c r="E88" i="24"/>
  <c r="G88" i="24" s="1"/>
  <c r="C88" i="24"/>
  <c r="B88" i="24"/>
  <c r="F87" i="24"/>
  <c r="E87" i="24"/>
  <c r="G87" i="24" s="1"/>
  <c r="C87" i="24"/>
  <c r="B87" i="24"/>
  <c r="L63" i="24"/>
  <c r="L62" i="24"/>
  <c r="L64" i="24" s="1"/>
  <c r="E53" i="24"/>
  <c r="E56" i="24" s="1"/>
  <c r="L52" i="24"/>
  <c r="L51" i="24"/>
  <c r="L50" i="24"/>
  <c r="L49" i="24"/>
  <c r="L48" i="24"/>
  <c r="L41" i="24"/>
  <c r="L40" i="24"/>
  <c r="L42" i="24" s="1"/>
  <c r="E31" i="24"/>
  <c r="E34" i="24" s="1"/>
  <c r="E17" i="24"/>
  <c r="E21" i="24" s="1"/>
  <c r="L21" i="24" s="1"/>
  <c r="C17" i="24"/>
  <c r="E16" i="24"/>
  <c r="C16" i="24"/>
  <c r="E15" i="24"/>
  <c r="C15" i="24"/>
  <c r="G142" i="24" l="1"/>
  <c r="G89" i="24"/>
  <c r="G91" i="24" s="1"/>
  <c r="L54" i="24"/>
  <c r="G144" i="24"/>
  <c r="L15" i="24"/>
  <c r="L16" i="24" s="1"/>
  <c r="G141" i="24"/>
  <c r="L17" i="24"/>
  <c r="L18" i="24" s="1"/>
  <c r="L55" i="24"/>
  <c r="L56" i="24" l="1"/>
  <c r="M48" i="24" s="1"/>
  <c r="L26" i="24"/>
  <c r="L27" i="24"/>
  <c r="G145" i="24"/>
  <c r="M55" i="24" l="1"/>
  <c r="M49" i="24"/>
  <c r="M51" i="24"/>
  <c r="M50" i="24"/>
  <c r="M54" i="24"/>
  <c r="E59" i="24"/>
  <c r="E60" i="24" s="1"/>
  <c r="M56" i="24"/>
  <c r="E58" i="24"/>
  <c r="L32" i="24"/>
  <c r="L33" i="24"/>
  <c r="L34" i="24" l="1"/>
  <c r="M33" i="24" s="1"/>
  <c r="N38" i="23"/>
  <c r="O38" i="23" s="1"/>
  <c r="N37" i="23"/>
  <c r="O37" i="23" s="1"/>
  <c r="N36" i="23"/>
  <c r="O36" i="23" s="1"/>
  <c r="N35" i="23"/>
  <c r="O35" i="23" s="1"/>
  <c r="N34" i="23"/>
  <c r="O34" i="23" s="1"/>
  <c r="N22" i="23"/>
  <c r="O22" i="23" s="1"/>
  <c r="O26" i="23" s="1"/>
  <c r="N21" i="23"/>
  <c r="O21" i="23" s="1"/>
  <c r="N20" i="23"/>
  <c r="O20" i="23" s="1"/>
  <c r="M32" i="24" l="1"/>
  <c r="M27" i="24"/>
  <c r="M30" i="24"/>
  <c r="M29" i="24"/>
  <c r="E37" i="24"/>
  <c r="E38" i="24" s="1"/>
  <c r="M28" i="24"/>
  <c r="M52" i="24"/>
  <c r="E36" i="24"/>
  <c r="M34" i="24"/>
  <c r="M26" i="24"/>
  <c r="O39" i="23"/>
  <c r="H41" i="22"/>
  <c r="G41" i="22"/>
  <c r="H36" i="22"/>
  <c r="G35" i="22"/>
  <c r="H35" i="22" s="1"/>
  <c r="H34" i="22"/>
  <c r="H33" i="22"/>
  <c r="D25" i="22"/>
  <c r="M24" i="22"/>
  <c r="M23" i="22"/>
  <c r="M21" i="22"/>
  <c r="L21" i="22"/>
  <c r="P21" i="22" s="1"/>
  <c r="F21" i="22"/>
  <c r="H21" i="22" s="1"/>
  <c r="E21" i="22"/>
  <c r="G21" i="22" s="1"/>
  <c r="N21" i="22" s="1"/>
  <c r="F20" i="22"/>
  <c r="H20" i="22" s="1"/>
  <c r="E20" i="22"/>
  <c r="G20" i="22" s="1"/>
  <c r="F19" i="22"/>
  <c r="H19" i="22" s="1"/>
  <c r="E19" i="22"/>
  <c r="G19" i="22" s="1"/>
  <c r="F18" i="22"/>
  <c r="H18" i="22" s="1"/>
  <c r="E18" i="22"/>
  <c r="G18" i="22" s="1"/>
  <c r="P17" i="22"/>
  <c r="M17" i="22"/>
  <c r="M19" i="22" s="1"/>
  <c r="L17" i="22"/>
  <c r="L18" i="22" s="1"/>
  <c r="P18" i="22" s="1"/>
  <c r="F17" i="22"/>
  <c r="H17" i="22" s="1"/>
  <c r="E17" i="22"/>
  <c r="G17" i="22" s="1"/>
  <c r="M16" i="22"/>
  <c r="M20" i="22" s="1"/>
  <c r="L16" i="22"/>
  <c r="L20" i="22" s="1"/>
  <c r="P20" i="22" s="1"/>
  <c r="F16" i="22"/>
  <c r="H16" i="22" s="1"/>
  <c r="O16" i="22" s="1"/>
  <c r="E16" i="22"/>
  <c r="G16" i="22" s="1"/>
  <c r="N16" i="22" s="1"/>
  <c r="M15" i="22"/>
  <c r="L15" i="22"/>
  <c r="P15" i="22" s="1"/>
  <c r="H15" i="22"/>
  <c r="O15" i="22" s="1"/>
  <c r="G15" i="22"/>
  <c r="N15" i="22" s="1"/>
  <c r="F15" i="22"/>
  <c r="E15" i="22"/>
  <c r="F14" i="22"/>
  <c r="H14" i="22" s="1"/>
  <c r="O14" i="22" s="1"/>
  <c r="E14" i="22"/>
  <c r="G14" i="22" s="1"/>
  <c r="M13" i="22"/>
  <c r="M14" i="22" s="1"/>
  <c r="L13" i="22"/>
  <c r="L14" i="22" s="1"/>
  <c r="P14" i="22" s="1"/>
  <c r="F13" i="22"/>
  <c r="H13" i="22" s="1"/>
  <c r="E13" i="22"/>
  <c r="G13" i="22" s="1"/>
  <c r="M11" i="22"/>
  <c r="M12" i="22" s="1"/>
  <c r="L11" i="22"/>
  <c r="L12" i="22" s="1"/>
  <c r="P12" i="22" s="1"/>
  <c r="G11" i="22"/>
  <c r="F11" i="22"/>
  <c r="H11" i="22" s="1"/>
  <c r="E11" i="22"/>
  <c r="E12" i="22" s="1"/>
  <c r="G12" i="22" s="1"/>
  <c r="O14" i="21"/>
  <c r="Q10" i="21"/>
  <c r="P10" i="21"/>
  <c r="M14" i="21" s="1"/>
  <c r="P14" i="21" s="1"/>
  <c r="F40" i="20"/>
  <c r="G39" i="20"/>
  <c r="G38" i="20"/>
  <c r="G37" i="20"/>
  <c r="G36" i="20"/>
  <c r="G33" i="20"/>
  <c r="F33" i="20"/>
  <c r="C28" i="20"/>
  <c r="N26" i="20"/>
  <c r="M26" i="20"/>
  <c r="O22" i="20"/>
  <c r="G22" i="20"/>
  <c r="N22" i="20" s="1"/>
  <c r="F22" i="20"/>
  <c r="M22" i="20" s="1"/>
  <c r="O21" i="20"/>
  <c r="G21" i="20"/>
  <c r="N21" i="20" s="1"/>
  <c r="F21" i="20"/>
  <c r="M21" i="20" s="1"/>
  <c r="O20" i="20"/>
  <c r="G20" i="20"/>
  <c r="N20" i="20" s="1"/>
  <c r="F20" i="20"/>
  <c r="M20" i="20" s="1"/>
  <c r="O19" i="20"/>
  <c r="G19" i="20"/>
  <c r="N19" i="20" s="1"/>
  <c r="F19" i="20"/>
  <c r="M19" i="20" s="1"/>
  <c r="O18" i="20"/>
  <c r="G18" i="20"/>
  <c r="N18" i="20" s="1"/>
  <c r="F18" i="20"/>
  <c r="M18" i="20" s="1"/>
  <c r="O17" i="20"/>
  <c r="G17" i="20"/>
  <c r="N17" i="20" s="1"/>
  <c r="F17" i="20"/>
  <c r="M17" i="20" s="1"/>
  <c r="O16" i="20"/>
  <c r="G16" i="20"/>
  <c r="N16" i="20" s="1"/>
  <c r="F16" i="20"/>
  <c r="M16" i="20" s="1"/>
  <c r="O15" i="20"/>
  <c r="G15" i="20"/>
  <c r="F15" i="20"/>
  <c r="M15" i="20" s="1"/>
  <c r="O14" i="20"/>
  <c r="G14" i="20"/>
  <c r="N14" i="20" s="1"/>
  <c r="F14" i="20"/>
  <c r="M14" i="20" s="1"/>
  <c r="O13" i="20"/>
  <c r="G13" i="20"/>
  <c r="N13" i="20" s="1"/>
  <c r="F13" i="20"/>
  <c r="M13" i="20" s="1"/>
  <c r="O12" i="20"/>
  <c r="O28" i="20" l="1"/>
  <c r="O21" i="22"/>
  <c r="F12" i="22"/>
  <c r="H12" i="22" s="1"/>
  <c r="O12" i="22" s="1"/>
  <c r="N17" i="22"/>
  <c r="M25" i="20"/>
  <c r="O17" i="22"/>
  <c r="N25" i="20"/>
  <c r="G40" i="20"/>
  <c r="N12" i="22"/>
  <c r="G37" i="22"/>
  <c r="H37" i="22"/>
  <c r="H24" i="22"/>
  <c r="O24" i="22" s="1"/>
  <c r="O13" i="22"/>
  <c r="H23" i="22"/>
  <c r="O23" i="22" s="1"/>
  <c r="O19" i="22"/>
  <c r="O20" i="22"/>
  <c r="G23" i="22"/>
  <c r="N23" i="22" s="1"/>
  <c r="G24" i="22"/>
  <c r="N24" i="22" s="1"/>
  <c r="N13" i="22"/>
  <c r="N14" i="22"/>
  <c r="N19" i="22"/>
  <c r="N20" i="22"/>
  <c r="G24" i="20"/>
  <c r="N24" i="20" s="1"/>
  <c r="M12" i="20"/>
  <c r="N14" i="21"/>
  <c r="Q14" i="21" s="1"/>
  <c r="P11" i="22"/>
  <c r="M18" i="22"/>
  <c r="N18" i="22" s="1"/>
  <c r="L19" i="22"/>
  <c r="P19" i="22" s="1"/>
  <c r="P13" i="22"/>
  <c r="N15" i="20"/>
  <c r="N12" i="20"/>
  <c r="P16" i="22"/>
  <c r="N11" i="22"/>
  <c r="O11" i="22"/>
  <c r="F28" i="20" l="1"/>
  <c r="F42" i="20" s="1"/>
  <c r="F46" i="20" s="1"/>
  <c r="F47" i="20" s="1"/>
  <c r="P25" i="22"/>
  <c r="G29" i="22" s="1"/>
  <c r="N28" i="20"/>
  <c r="O18" i="22"/>
  <c r="O25" i="22" s="1"/>
  <c r="H28" i="22" s="1"/>
  <c r="G25" i="22"/>
  <c r="G28" i="20"/>
  <c r="G42" i="20" s="1"/>
  <c r="G46" i="20" s="1"/>
  <c r="G47" i="20" s="1"/>
  <c r="N25" i="22"/>
  <c r="G28" i="22" s="1"/>
  <c r="M24" i="20"/>
  <c r="M28" i="20" s="1"/>
  <c r="H25" i="22"/>
  <c r="H29" i="22"/>
  <c r="H30" i="22" l="1"/>
  <c r="H39" i="22" s="1"/>
  <c r="H43" i="22" s="1"/>
  <c r="H44" i="22" s="1"/>
  <c r="G30" i="22"/>
  <c r="G39" i="22" s="1"/>
  <c r="G43" i="22" s="1"/>
  <c r="G44" i="22" s="1"/>
  <c r="U29" i="18" l="1"/>
  <c r="R29" i="18"/>
  <c r="Q29" i="18"/>
  <c r="N29" i="18"/>
  <c r="X28" i="18"/>
  <c r="V28" i="18"/>
  <c r="T28" i="18"/>
  <c r="P28" i="18"/>
  <c r="X27" i="18"/>
  <c r="V27" i="18"/>
  <c r="T27" i="18"/>
  <c r="P27" i="18"/>
  <c r="X26" i="18"/>
  <c r="V26" i="18"/>
  <c r="T26" i="18"/>
  <c r="P26" i="18"/>
  <c r="X25" i="18"/>
  <c r="V25" i="18"/>
  <c r="T25" i="18"/>
  <c r="P25" i="18"/>
  <c r="X24" i="18"/>
  <c r="V24" i="18"/>
  <c r="T24" i="18"/>
  <c r="P24" i="18"/>
  <c r="X23" i="18"/>
  <c r="V23" i="18"/>
  <c r="T23" i="18"/>
  <c r="P23" i="18"/>
  <c r="X22" i="18"/>
  <c r="V22" i="18"/>
  <c r="T22" i="18"/>
  <c r="P22" i="18"/>
  <c r="X21" i="18"/>
  <c r="V21" i="18"/>
  <c r="T21" i="18"/>
  <c r="P21" i="18"/>
  <c r="U16" i="18"/>
  <c r="R16" i="18"/>
  <c r="Q16" i="18"/>
  <c r="N16" i="18"/>
  <c r="X15" i="18"/>
  <c r="V15" i="18"/>
  <c r="T15" i="18"/>
  <c r="P15" i="18"/>
  <c r="X14" i="18"/>
  <c r="V14" i="18"/>
  <c r="T14" i="18"/>
  <c r="P14" i="18"/>
  <c r="X13" i="18"/>
  <c r="V13" i="18"/>
  <c r="T13" i="18"/>
  <c r="P13" i="18"/>
  <c r="X12" i="18"/>
  <c r="V12" i="18"/>
  <c r="T12" i="18"/>
  <c r="P12" i="18"/>
  <c r="X11" i="18"/>
  <c r="V11" i="18"/>
  <c r="T11" i="18"/>
  <c r="P11" i="18"/>
  <c r="X10" i="18"/>
  <c r="V10" i="18"/>
  <c r="T10" i="18"/>
  <c r="P10" i="18"/>
  <c r="X9" i="18"/>
  <c r="V9" i="18"/>
  <c r="T9" i="18"/>
  <c r="P9" i="18"/>
  <c r="X8" i="18"/>
  <c r="V8" i="18"/>
  <c r="T8" i="18"/>
  <c r="P8" i="18"/>
  <c r="V16" i="18" l="1"/>
  <c r="W10" i="18"/>
  <c r="W11" i="18"/>
  <c r="W25" i="18"/>
  <c r="W12" i="18"/>
  <c r="W23" i="18"/>
  <c r="W24" i="18"/>
  <c r="W26" i="18"/>
  <c r="W27" i="18"/>
  <c r="W28" i="18"/>
  <c r="W13" i="18"/>
  <c r="W14" i="18"/>
  <c r="W15" i="18"/>
  <c r="W22" i="18"/>
  <c r="W9" i="18"/>
  <c r="X16" i="18"/>
  <c r="T29" i="18"/>
  <c r="P29" i="18"/>
  <c r="P16" i="18"/>
  <c r="V29" i="18"/>
  <c r="T16" i="18"/>
  <c r="X29" i="18"/>
  <c r="W8" i="18"/>
  <c r="W21" i="18"/>
  <c r="W29" i="18" l="1"/>
  <c r="W16" i="18"/>
  <c r="D25" i="16"/>
  <c r="C25" i="16"/>
  <c r="D16" i="16"/>
  <c r="C16" i="16"/>
  <c r="P17" i="14" l="1"/>
  <c r="N17" i="14"/>
  <c r="M17" i="14"/>
  <c r="M19" i="11" l="1"/>
  <c r="I19" i="11"/>
  <c r="F19" i="11"/>
  <c r="AZ31" i="10"/>
  <c r="AY31" i="10"/>
  <c r="AX31" i="10"/>
  <c r="AW31" i="10"/>
  <c r="AV31" i="10"/>
  <c r="AN31" i="10"/>
  <c r="AL31" i="10"/>
  <c r="AJ31" i="10"/>
  <c r="AH31" i="10"/>
  <c r="AE31" i="10"/>
  <c r="AD31" i="10"/>
  <c r="AZ30" i="10"/>
  <c r="AY30" i="10"/>
  <c r="AX30" i="10"/>
  <c r="AW30" i="10"/>
  <c r="AV30" i="10"/>
  <c r="AU30" i="10"/>
  <c r="AT30" i="10"/>
  <c r="AS30" i="10"/>
  <c r="AR30" i="10"/>
  <c r="AQ30" i="10"/>
  <c r="AP30" i="10"/>
  <c r="AO30" i="10"/>
  <c r="AE30" i="10"/>
  <c r="AD30" i="10"/>
  <c r="AN29" i="10"/>
  <c r="AL29" i="10"/>
  <c r="AJ29" i="10"/>
  <c r="AH29" i="10"/>
  <c r="AN28" i="10"/>
  <c r="AL28" i="10"/>
  <c r="AJ28" i="10"/>
  <c r="AH28" i="10"/>
  <c r="AN27" i="10"/>
  <c r="AL27" i="10"/>
  <c r="AJ27" i="10"/>
  <c r="AH27" i="10"/>
  <c r="AN26" i="10"/>
  <c r="AL26" i="10"/>
  <c r="AJ26" i="10"/>
  <c r="AH26" i="10"/>
  <c r="AN25" i="10"/>
  <c r="AL25" i="10"/>
  <c r="AJ25" i="10"/>
  <c r="AH25" i="10"/>
  <c r="AN24" i="10"/>
  <c r="AL24" i="10"/>
  <c r="AJ24" i="10"/>
  <c r="AH24" i="10"/>
  <c r="AN23" i="10"/>
  <c r="AL23" i="10"/>
  <c r="AJ23" i="10"/>
  <c r="AH23" i="10"/>
  <c r="AN22" i="10"/>
  <c r="AL22" i="10"/>
  <c r="AJ22" i="10"/>
  <c r="AH22" i="10"/>
  <c r="AN21" i="10"/>
  <c r="AL21" i="10"/>
  <c r="AJ21" i="10"/>
  <c r="AH21" i="10"/>
  <c r="AN20" i="10"/>
  <c r="AL20" i="10"/>
  <c r="AJ20" i="10"/>
  <c r="AH20" i="10"/>
  <c r="AN19" i="10"/>
  <c r="AL19" i="10"/>
  <c r="AJ19" i="10"/>
  <c r="AH19" i="10"/>
  <c r="AN18" i="10"/>
  <c r="AL18" i="10"/>
  <c r="AJ18" i="10"/>
  <c r="AH18" i="10"/>
  <c r="AN17" i="10"/>
  <c r="AL17" i="10"/>
  <c r="AJ17" i="10"/>
  <c r="AH17" i="10"/>
  <c r="AN16" i="10"/>
  <c r="AL16" i="10"/>
  <c r="AJ16" i="10"/>
  <c r="AH16" i="10"/>
  <c r="AN15" i="10"/>
  <c r="AL15" i="10"/>
  <c r="AJ15" i="10"/>
  <c r="AH15" i="10"/>
  <c r="AN14" i="10"/>
  <c r="AL14" i="10"/>
  <c r="AJ14" i="10"/>
  <c r="AH14" i="10"/>
  <c r="AN13" i="10"/>
  <c r="AL13" i="10"/>
  <c r="AJ13" i="10"/>
  <c r="AH13" i="10"/>
  <c r="AN12" i="10"/>
  <c r="AL12" i="10"/>
  <c r="AJ12" i="10"/>
  <c r="AH12" i="10"/>
  <c r="AN11" i="10"/>
  <c r="AL11" i="10"/>
  <c r="AJ11" i="10"/>
  <c r="AH11" i="10"/>
  <c r="AN10" i="10"/>
  <c r="AL10" i="10"/>
  <c r="AJ10" i="10"/>
  <c r="AH10" i="10"/>
  <c r="AN9" i="10"/>
  <c r="AL9" i="10"/>
  <c r="AJ9" i="10"/>
  <c r="AH9" i="10"/>
  <c r="AN8" i="10"/>
  <c r="AL8" i="10"/>
  <c r="AJ8" i="10"/>
  <c r="AH8" i="10"/>
  <c r="AN7" i="10"/>
  <c r="AN30" i="10" s="1"/>
  <c r="AL7" i="10"/>
  <c r="AL30" i="10" s="1"/>
  <c r="AJ7" i="10"/>
  <c r="AJ30" i="10" s="1"/>
  <c r="AH7" i="10"/>
  <c r="AH30" i="10" s="1"/>
  <c r="O49" i="8" l="1"/>
  <c r="L49" i="8"/>
  <c r="L74" i="8" s="1"/>
  <c r="L12" i="8"/>
  <c r="L44" i="8" s="1"/>
  <c r="O74" i="8" l="1"/>
  <c r="O76" i="8" s="1"/>
  <c r="L76" i="8"/>
</calcChain>
</file>

<file path=xl/comments1.xml><?xml version="1.0" encoding="utf-8"?>
<comments xmlns="http://schemas.openxmlformats.org/spreadsheetml/2006/main">
  <authors>
    <author>Administrator</author>
  </authors>
  <commentList>
    <comment ref="I4" authorId="0">
      <text>
        <r>
          <rPr>
            <sz val="11"/>
            <color indexed="81"/>
            <rFont val="Calibri"/>
            <family val="2"/>
            <scheme val="minor"/>
          </rPr>
          <t xml:space="preserve">Will be provided in January </t>
        </r>
      </text>
    </comment>
    <comment ref="I5" authorId="0">
      <text>
        <r>
          <rPr>
            <b/>
            <sz val="9"/>
            <color indexed="81"/>
            <rFont val="Tahoma"/>
            <family val="2"/>
          </rPr>
          <t>Administrator:</t>
        </r>
        <r>
          <rPr>
            <sz val="9"/>
            <color indexed="81"/>
            <rFont val="Tahoma"/>
            <family val="2"/>
          </rPr>
          <t xml:space="preserve">
Will be provided in January</t>
        </r>
      </text>
    </comment>
  </commentList>
</comments>
</file>

<file path=xl/comments2.xml><?xml version="1.0" encoding="utf-8"?>
<comments xmlns="http://schemas.openxmlformats.org/spreadsheetml/2006/main">
  <authors>
    <author>Sarah Anders</author>
  </authors>
  <commentList>
    <comment ref="G24" authorId="0">
      <text>
        <r>
          <rPr>
            <b/>
            <sz val="8"/>
            <color indexed="81"/>
            <rFont val="Tahoma"/>
            <family val="2"/>
          </rPr>
          <t>Note:</t>
        </r>
        <r>
          <rPr>
            <sz val="8"/>
            <color indexed="81"/>
            <rFont val="Tahoma"/>
            <family val="2"/>
          </rPr>
          <t xml:space="preserve"> formula assumes ALL job classes are eligible for premium pay.  If that is incorrect, adjust formula to only sum the salaries of applicable job classes.</t>
        </r>
      </text>
    </comment>
    <comment ref="A26" authorId="0">
      <text>
        <r>
          <rPr>
            <sz val="8"/>
            <color indexed="81"/>
            <rFont val="Tahoma"/>
            <family val="2"/>
          </rPr>
          <t>If overtime is received, use formula:
low/high salary (column F/G) for applicable job class(es) x 1.5 x (# overtime hrs in PPD/80).</t>
        </r>
      </text>
    </comment>
    <comment ref="A27" authorId="0">
      <text>
        <r>
          <rPr>
            <sz val="8"/>
            <color indexed="81"/>
            <rFont val="Tahoma"/>
            <family val="2"/>
          </rPr>
          <t>Ex. Uniform allowance.</t>
        </r>
      </text>
    </comment>
    <comment ref="G31" authorId="0">
      <text>
        <r>
          <rPr>
            <sz val="8"/>
            <color indexed="81"/>
            <rFont val="Tahoma"/>
            <family val="2"/>
          </rPr>
          <t>Enter estimated fringe benefit costs here.  These will be recalculated once the Controller's Office inputs fringe rates above.</t>
        </r>
      </text>
    </comment>
    <comment ref="A36" authorId="0">
      <text>
        <r>
          <rPr>
            <sz val="8"/>
            <color indexed="81"/>
            <rFont val="Tahoma"/>
            <family val="2"/>
          </rPr>
          <t>Include any estimated capital costs (for ex. any materials, supplies, or other equipment) and any other costs not included above.</t>
        </r>
      </text>
    </comment>
  </commentList>
</comments>
</file>

<file path=xl/comments3.xml><?xml version="1.0" encoding="utf-8"?>
<comments xmlns="http://schemas.openxmlformats.org/spreadsheetml/2006/main">
  <authors>
    <author>Sarah Anders</author>
  </authors>
  <commentList>
    <comment ref="J5" authorId="0">
      <text>
        <r>
          <rPr>
            <sz val="8"/>
            <color indexed="81"/>
            <rFont val="Tahoma"/>
            <family val="2"/>
          </rPr>
          <t>Usually yes.</t>
        </r>
      </text>
    </comment>
    <comment ref="M9" authorId="0">
      <text>
        <r>
          <rPr>
            <sz val="8"/>
            <color indexed="81"/>
            <rFont val="Tahoma"/>
            <family val="2"/>
          </rPr>
          <t>Can be partial FTE.</t>
        </r>
      </text>
    </comment>
  </commentList>
</comments>
</file>

<file path=xl/comments4.xml><?xml version="1.0" encoding="utf-8"?>
<comments xmlns="http://schemas.openxmlformats.org/spreadsheetml/2006/main">
  <authors>
    <author>Controller Accounting Ops. Co</author>
  </authors>
  <commentList>
    <comment ref="B12" authorId="0">
      <text>
        <r>
          <rPr>
            <b/>
            <sz val="8"/>
            <color indexed="81"/>
            <rFont val="Tahoma"/>
            <family val="2"/>
          </rPr>
          <t xml:space="preserve">Controller Accounting Ops. Co:
</t>
        </r>
        <r>
          <rPr>
            <sz val="8"/>
            <color indexed="81"/>
            <rFont val="Tahoma"/>
            <family val="2"/>
          </rPr>
          <t>salary "tied" 80% of transit operator</t>
        </r>
      </text>
    </comment>
  </commentList>
</comments>
</file>

<file path=xl/sharedStrings.xml><?xml version="1.0" encoding="utf-8"?>
<sst xmlns="http://schemas.openxmlformats.org/spreadsheetml/2006/main" count="2171" uniqueCount="1084">
  <si>
    <t xml:space="preserve">BUDGET FORM 1A: Table Summary of Major Budget Changes </t>
  </si>
  <si>
    <t>DEPARTMENT NAME:</t>
  </si>
  <si>
    <t xml:space="preserve">Please identify major changes in department budget submission including increased investments and/or reductions made to achieve budget target.  </t>
  </si>
  <si>
    <t xml:space="preserve">Major General Fund-Related Changes </t>
  </si>
  <si>
    <t>Program Code</t>
  </si>
  <si>
    <t>Program Title</t>
  </si>
  <si>
    <t>FY 2013-14 General Fund Uses</t>
  </si>
  <si>
    <t>FY 2013-14 FTE</t>
  </si>
  <si>
    <t>FY 2014-15 General Fund Uses</t>
  </si>
  <si>
    <t>FY2014-15 FTE</t>
  </si>
  <si>
    <t>Change in GF Uses in 
FY 2014-15 (year over year)</t>
  </si>
  <si>
    <t>Change in GF FTEs in 
FY 2014-15</t>
  </si>
  <si>
    <t>FY 2015-16 
General Fund Uses</t>
  </si>
  <si>
    <t xml:space="preserve">FY 2015-16 FTE </t>
  </si>
  <si>
    <t>Change in GF Uses in FY 2015-16 (year over year)</t>
  </si>
  <si>
    <t>Change in FTEs in 
FY 2015-16</t>
  </si>
  <si>
    <t>Explanation of increase or reduction and resulting service mpact. Please note whether the reduction is on-going or one-time.</t>
  </si>
  <si>
    <t xml:space="preserve">Non General Fund-Related Changes </t>
  </si>
  <si>
    <t>Program Code/Fund</t>
  </si>
  <si>
    <t>FY 2013-14 Non General Fund Uses</t>
  </si>
  <si>
    <t>FY 2014-15 
Non General Fund Uses</t>
  </si>
  <si>
    <t xml:space="preserve">Change in Non GF Uses in FY 2014-15
(year over year) </t>
  </si>
  <si>
    <t>Change in FTEs in 
FY 2014-15</t>
  </si>
  <si>
    <t>FY 2015-16 
Non General Fund Uses</t>
  </si>
  <si>
    <t>FY 2015-16 FTE</t>
  </si>
  <si>
    <t xml:space="preserve">Change in Non GF Uses in FY 2015-16 
(year over year) </t>
  </si>
  <si>
    <t>BUDGET FORM 1B: BUDGET BOOK GRAPHS</t>
  </si>
  <si>
    <t>GRAPH 1</t>
  </si>
  <si>
    <t>GRAPH 2</t>
  </si>
  <si>
    <t>Department:</t>
  </si>
  <si>
    <t>Title:</t>
  </si>
  <si>
    <t>Caption/Description:</t>
  </si>
  <si>
    <t>Data:</t>
  </si>
  <si>
    <t>Fiscal Year</t>
  </si>
  <si>
    <t>BUDGET FORM 2A: Revenue Report</t>
  </si>
  <si>
    <t>Please identify proposed revenue changes from the FY 2013-14 Adopted Budget (AAO) and the FY 2014-15 Department Proposed Budget at the program and subobject level.</t>
  </si>
  <si>
    <r>
      <t>Note</t>
    </r>
    <r>
      <rPr>
        <sz val="11"/>
        <rFont val="Arial"/>
        <family val="2"/>
      </rPr>
      <t xml:space="preserve">: To submit this information, run the </t>
    </r>
    <r>
      <rPr>
        <b/>
        <sz val="11"/>
        <rFont val="Arial"/>
        <family val="2"/>
      </rPr>
      <t>15.40.007</t>
    </r>
    <r>
      <rPr>
        <sz val="11"/>
        <rFont val="Arial"/>
        <family val="2"/>
      </rPr>
      <t xml:space="preserve"> report from the budget system. For any proposed changes, fill in the columns for FY 2012-13 Actuals, FY 2013-14 Projection and the </t>
    </r>
  </si>
  <si>
    <t>explanation of change.</t>
  </si>
  <si>
    <t>Please contact your Mayor's Office or Controller's Office Analyst if you need assistance running this report.</t>
  </si>
  <si>
    <t>All submissions must be formatted appropriately so that printed copies are easily readable for the public.</t>
  </si>
  <si>
    <t>Budget System Report 15.40.007</t>
  </si>
  <si>
    <t>FILL IN</t>
  </si>
  <si>
    <t>GFS</t>
  </si>
  <si>
    <t>Subfund</t>
  </si>
  <si>
    <t>Program</t>
  </si>
  <si>
    <t>Char</t>
  </si>
  <si>
    <t>Obj</t>
  </si>
  <si>
    <t>Sobj</t>
  </si>
  <si>
    <t>Subobject Title</t>
  </si>
  <si>
    <t>FY 2012-13 Actual</t>
  </si>
  <si>
    <t>FY 2013-14 Orig Budget</t>
  </si>
  <si>
    <t>FY 2013-14 Projected</t>
  </si>
  <si>
    <t>FY 2014-15 Dept Proposed</t>
  </si>
  <si>
    <t>Change from FY 2014-15 Budget</t>
  </si>
  <si>
    <t>FY 2015-16 Dept Proposed</t>
  </si>
  <si>
    <t>Change from FY 2015-16 Budget</t>
  </si>
  <si>
    <t>Revenue Description &amp; Explanation of Change</t>
  </si>
  <si>
    <t>Budget Form 2B: Schedule of Licenses, Permits, Fines &amp; Service Charges</t>
  </si>
  <si>
    <t>Inflation Factor for FY 2014-15 Fee Auto Increase as per Code Section **</t>
  </si>
  <si>
    <t>Inflation Factor for FY 2015-16 Fee Auto Increase as per Code Section **</t>
  </si>
  <si>
    <t>CPI will be updated in January 2014. Call Controller's Budget Office to confirm CPI before submitting.</t>
  </si>
  <si>
    <t>MODIFIED AND NEW FEES</t>
  </si>
  <si>
    <t>Item</t>
  </si>
  <si>
    <t>Description</t>
  </si>
  <si>
    <t>Code Authorization</t>
  </si>
  <si>
    <t>Auto CPI Adjust Yes/No</t>
  </si>
  <si>
    <t>Subobj</t>
  </si>
  <si>
    <t>Index</t>
  </si>
  <si>
    <t>Unit Basis (e.g.. per sq. ft./)</t>
  </si>
  <si>
    <t>FY 2013-14 Fee</t>
  </si>
  <si>
    <t>FY 2013-14 Units (Est.)</t>
  </si>
  <si>
    <t>FY 2013-14 Revenue Budgeted</t>
  </si>
  <si>
    <t>FY 2013-14 Cost Recovery (Est.)</t>
  </si>
  <si>
    <t>FY 2014-15 Fee **</t>
  </si>
  <si>
    <t>FY 2014-15 Units (Est.)</t>
  </si>
  <si>
    <t>FY 2014-15 Revenue Proposed</t>
  </si>
  <si>
    <t>FY 2014-15 Cost Recovery (Est.)</t>
  </si>
  <si>
    <t>FY 2015-16  Fee **</t>
  </si>
  <si>
    <t>FY 2015-16  Units (Est.)</t>
  </si>
  <si>
    <t>FY 2015-16  Revenue Proposed</t>
  </si>
  <si>
    <t>FY 2015-16 Cost Recovery (Est.)</t>
  </si>
  <si>
    <t>Fiscal Year of Last Increase</t>
  </si>
  <si>
    <t>Fee Prior to Last Increase</t>
  </si>
  <si>
    <t>CONTINUING FEES</t>
  </si>
  <si>
    <t>Fee Status</t>
  </si>
  <si>
    <t>C</t>
  </si>
  <si>
    <t>Fee Status:</t>
  </si>
  <si>
    <t>C - Continuing</t>
  </si>
  <si>
    <t>M - Modified</t>
  </si>
  <si>
    <t>N - New</t>
  </si>
  <si>
    <t>D - Discontinued</t>
  </si>
  <si>
    <t>Note:</t>
  </si>
  <si>
    <t>** If Auto CPI adjustment = Yes, FY 2014-15 and FY 2015-16 Fee will be automatically generated based on the inflation factor determined by the Controller.</t>
  </si>
  <si>
    <t xml:space="preserve">    If Auto CPI adjustment = No, FY 2014-15 and FY 2015-16 Fee will remain the same as previous year or entered by dept according to Code Authorization.</t>
  </si>
  <si>
    <t>DEPARTMENT:</t>
  </si>
  <si>
    <t>Fee XYZ</t>
  </si>
  <si>
    <t>Department ABC</t>
  </si>
  <si>
    <t>99000X</t>
  </si>
  <si>
    <t xml:space="preserve">Jane Smart       </t>
  </si>
  <si>
    <t>6999X</t>
  </si>
  <si>
    <t>Admin Code Section X.X</t>
  </si>
  <si>
    <t>(1)</t>
  </si>
  <si>
    <t>(2)</t>
  </si>
  <si>
    <t>(3)</t>
  </si>
  <si>
    <t xml:space="preserve"> ESTIMATED REVENUE DERIVED FROM SERVICE</t>
  </si>
  <si>
    <t>A</t>
  </si>
  <si>
    <t>Quantity  Estimated</t>
  </si>
  <si>
    <t>D</t>
  </si>
  <si>
    <t>Direct Costs</t>
  </si>
  <si>
    <t>% of Total</t>
  </si>
  <si>
    <t>(# of Units of Service Provided)</t>
  </si>
  <si>
    <t>Space Rental Equivalent</t>
  </si>
  <si>
    <t>Materials &amp; Supplies</t>
  </si>
  <si>
    <t>B</t>
  </si>
  <si>
    <t>E</t>
  </si>
  <si>
    <t>Indirect Costs</t>
  </si>
  <si>
    <t>Rate</t>
  </si>
  <si>
    <t>Departmental Overhead</t>
  </si>
  <si>
    <t>F</t>
  </si>
  <si>
    <t>G</t>
  </si>
  <si>
    <t>H</t>
  </si>
  <si>
    <t>Required Fee For 100% Cost Recovery (F/A)</t>
  </si>
  <si>
    <t>I</t>
  </si>
  <si>
    <t xml:space="preserve">Over (+) or Under (-) 100% Cost Recovery (B-H) </t>
  </si>
  <si>
    <t>Productive Labor &amp; Benefits (0.75 of 2012-13 Salary &amp; MFB)</t>
  </si>
  <si>
    <t>Leave &amp; Non-Productive Time (0.25 of FY 2012-13 Salary &amp; MFB)</t>
  </si>
  <si>
    <t>BUDGET FORM 3A: Program Expenditure Report</t>
  </si>
  <si>
    <t xml:space="preserve">Please identify proposed changes in expenditures from the FY 2014-15 base budget at the object level. </t>
  </si>
  <si>
    <r>
      <t>Note</t>
    </r>
    <r>
      <rPr>
        <sz val="11"/>
        <rFont val="Arial"/>
        <family val="2"/>
      </rPr>
      <t xml:space="preserve">: To submit this information, please run the </t>
    </r>
    <r>
      <rPr>
        <b/>
        <sz val="11"/>
        <rFont val="Arial"/>
        <family val="2"/>
      </rPr>
      <t xml:space="preserve">15.40.005 </t>
    </r>
    <r>
      <rPr>
        <sz val="11"/>
        <rFont val="Arial"/>
        <family val="2"/>
      </rPr>
      <t xml:space="preserve">and </t>
    </r>
    <r>
      <rPr>
        <b/>
        <sz val="11"/>
        <rFont val="Arial"/>
        <family val="2"/>
      </rPr>
      <t>15.40.006</t>
    </r>
    <r>
      <rPr>
        <sz val="11"/>
        <rFont val="Arial"/>
        <family val="2"/>
      </rPr>
      <t xml:space="preserve"> reports from the budget system and fill in the column for the explanation of change.</t>
    </r>
  </si>
  <si>
    <t>Budget System Report 15.40.005 Expenditures (at Object Level)</t>
  </si>
  <si>
    <t>Object</t>
  </si>
  <si>
    <t>Object Title</t>
  </si>
  <si>
    <t>FY 2014-15 Base Budget</t>
  </si>
  <si>
    <t>Change from FY 2014-15 Base Budget</t>
  </si>
  <si>
    <t>FY 2015-16 Base Budget</t>
  </si>
  <si>
    <t>Change from FY 2015-16 Base Budget</t>
  </si>
  <si>
    <t>Explanation of Change for each Budget Year</t>
  </si>
  <si>
    <t>Budget System Report 15.40.006 Work Order Requests and Recoveries (at Subobject Level)</t>
  </si>
  <si>
    <t>Subobject</t>
  </si>
  <si>
    <t xml:space="preserve">Budget Form 3B: Budgeted Expenditures for Children's Programs  </t>
  </si>
  <si>
    <t xml:space="preserve">DEPARTMENT NAME: </t>
  </si>
  <si>
    <t>Uses of Funds</t>
  </si>
  <si>
    <t>Source of Funds</t>
  </si>
  <si>
    <t>Budget Year (FY14-15 or FY15-16)</t>
  </si>
  <si>
    <t>Program Name</t>
  </si>
  <si>
    <t>Service Category</t>
  </si>
  <si>
    <t>FAMIS Program</t>
  </si>
  <si>
    <t>Index Code</t>
  </si>
  <si>
    <t>Prevention / Intervention</t>
  </si>
  <si>
    <t xml:space="preserve">Total Program Budget </t>
  </si>
  <si>
    <t>Total Program Budget
 (0-17)</t>
  </si>
  <si>
    <t>Total N</t>
  </si>
  <si>
    <t>Proportion Assumption (0-5)</t>
  </si>
  <si>
    <t>Program Budget 
(0-5)</t>
  </si>
  <si>
    <t>Proportion 
Assumption (6-10)</t>
  </si>
  <si>
    <t>Program Budget 
(6-10)</t>
  </si>
  <si>
    <t>Proportion Assumption (11-13)</t>
  </si>
  <si>
    <t>Program Budget 
(11-13)</t>
  </si>
  <si>
    <t>Proportion Assumption (14-17)</t>
  </si>
  <si>
    <t>Program Budget 
(14-17)</t>
  </si>
  <si>
    <t>Program Budget (18-24)</t>
  </si>
  <si>
    <t>Proportion Assumption (18-24)</t>
  </si>
  <si>
    <t>General Fund</t>
  </si>
  <si>
    <t>Baseline - FAL</t>
  </si>
  <si>
    <t>Children's Fund</t>
  </si>
  <si>
    <t>State Fund</t>
  </si>
  <si>
    <t>Other Fund</t>
  </si>
  <si>
    <t>FY14-15</t>
  </si>
  <si>
    <t>FY 14-15</t>
  </si>
  <si>
    <t>TOTALS</t>
  </si>
  <si>
    <t>FY 15-16</t>
  </si>
  <si>
    <t>NOTES:</t>
  </si>
  <si>
    <t>1)  The information shown above should be based on each department's budget submission for FY 2014-15 and FY 2015-16</t>
  </si>
  <si>
    <t>2)  Requesting departments should show work order spending on their spreadsheet based on the source of funds.</t>
  </si>
  <si>
    <t>3)  Only DCYF should show program spending under the Children's Fund column.</t>
  </si>
  <si>
    <t>4)  Each department's total for Baseline-FAL should match the Baseline information tracked by the Controller's Office.  Changes from what is currently shown as Baseline spending by the Controller's Office should be highlighted.</t>
  </si>
  <si>
    <t>5)  If a program has more than source of funding, separate rows will be required for each funding source.</t>
  </si>
  <si>
    <t>COLUMN EXPLANATIONS:</t>
  </si>
  <si>
    <r>
      <t>Program Name</t>
    </r>
    <r>
      <rPr>
        <sz val="10"/>
        <rFont val="Arial"/>
        <family val="2"/>
      </rPr>
      <t xml:space="preserve"> - List the name used within your department to describe the program.</t>
    </r>
  </si>
  <si>
    <r>
      <t xml:space="preserve">Ages Served - </t>
    </r>
    <r>
      <rPr>
        <sz val="10"/>
        <rFont val="Arial"/>
        <family val="2"/>
      </rPr>
      <t>Indicate ages of children and youth served by the named program.  Age range should be between 0 to 17 years old.</t>
    </r>
  </si>
  <si>
    <r>
      <t>Service Category</t>
    </r>
    <r>
      <rPr>
        <sz val="10"/>
        <rFont val="Arial"/>
        <family val="2"/>
      </rPr>
      <t xml:space="preserve"> - Use the drop down menu to select the category that most closely matches the program based on the description provided for each category.  Please contact DCYF if you are having difficulties categorizing a program.</t>
    </r>
  </si>
  <si>
    <r>
      <t>FAMIS Program</t>
    </r>
    <r>
      <rPr>
        <sz val="10"/>
        <rFont val="Arial"/>
        <family val="2"/>
      </rPr>
      <t xml:space="preserve"> - List the Program Code used in FAMIS for the source of program funding listed in each row.</t>
    </r>
  </si>
  <si>
    <r>
      <t>Index Code</t>
    </r>
    <r>
      <rPr>
        <sz val="10"/>
        <rFont val="Arial"/>
        <family val="2"/>
      </rPr>
      <t xml:space="preserve"> - List the index code for the program funding listed in each row.  You may list multiple index codes on one row as long as they have the same Program Code and Source of Funding.</t>
    </r>
  </si>
  <si>
    <r>
      <t>Total Program Budget</t>
    </r>
    <r>
      <rPr>
        <sz val="10"/>
        <rFont val="Arial"/>
        <family val="2"/>
      </rPr>
      <t xml:space="preserve"> - List the total amount budgeted for the program from this source of funding.</t>
    </r>
  </si>
  <si>
    <r>
      <t>Proportion Assumption</t>
    </r>
    <r>
      <rPr>
        <sz val="10"/>
        <rFont val="Arial"/>
        <family val="2"/>
      </rPr>
      <t xml:space="preserve"> - List the proportional percentage you are using to decide how much of the Total Program Budget is related to children ages 0-17.  If the amount listed under Total Program Budget is all spent on children, type 100 into this field.</t>
    </r>
  </si>
  <si>
    <r>
      <t>Program Budget</t>
    </r>
    <r>
      <rPr>
        <sz val="10"/>
        <rFont val="Arial"/>
        <family val="2"/>
      </rPr>
      <t xml:space="preserve"> - This is automatically calculated by multiplying the Total Program Budget times the Proportion Assumption for each age category</t>
    </r>
  </si>
  <si>
    <r>
      <t>Source of Funds Columns</t>
    </r>
    <r>
      <rPr>
        <sz val="10"/>
        <rFont val="Arial"/>
        <family val="2"/>
      </rPr>
      <t xml:space="preserve"> - Contact DCYF if you have questions about how particular program funding should be categorized.  Please use a separate sheet of paper to provide the specific funding source for any funding listed in the Other column.</t>
    </r>
  </si>
  <si>
    <t>Budget Form 3C: Public Education Enrichment Fund</t>
  </si>
  <si>
    <t>Budget FY 2013-14</t>
  </si>
  <si>
    <t>Proposed FY 2014-15</t>
  </si>
  <si>
    <t>Proposed FY 2015-16</t>
  </si>
  <si>
    <t>Project/Service Name</t>
  </si>
  <si>
    <t>Description of Project/Service</t>
  </si>
  <si>
    <t>Amount</t>
  </si>
  <si>
    <t>Type of Support: A, B, or C
(See Footnote)</t>
  </si>
  <si>
    <r>
      <rPr>
        <b/>
        <i/>
        <sz val="10"/>
        <rFont val="Arial"/>
        <family val="2"/>
      </rPr>
      <t>SAMPLE:</t>
    </r>
    <r>
      <rPr>
        <sz val="10"/>
        <rFont val="Arial"/>
        <family val="2"/>
      </rPr>
      <t xml:space="preserve"> Elementary Music and Arts</t>
    </r>
  </si>
  <si>
    <t xml:space="preserve">Provides music instruction in flute, clarinet, trumpet and violin to 4th and 5th grade students in elementary schools. </t>
  </si>
  <si>
    <t>Type of Support</t>
  </si>
  <si>
    <r>
      <rPr>
        <b/>
        <sz val="10"/>
        <rFont val="Arial"/>
        <family val="2"/>
      </rPr>
      <t>A. Department Direct Support</t>
    </r>
    <r>
      <rPr>
        <sz val="10"/>
        <rFont val="Arial"/>
        <family val="2"/>
      </rPr>
      <t>: cash or grant provided directly to SFUSD to fund the listed project or service.</t>
    </r>
  </si>
  <si>
    <r>
      <rPr>
        <b/>
        <sz val="10"/>
        <rFont val="Arial"/>
        <family val="2"/>
      </rPr>
      <t>B. Department-provided In-kind Support</t>
    </r>
    <r>
      <rPr>
        <sz val="10"/>
        <rFont val="Arial"/>
        <family val="2"/>
      </rPr>
      <t>: in-kind (non-cash) support provided directly by Department to SFUSD for the listed project or service.</t>
    </r>
  </si>
  <si>
    <r>
      <rPr>
        <b/>
        <sz val="10"/>
        <rFont val="Arial"/>
        <family val="2"/>
      </rPr>
      <t>C. Department-funded In-kind Support</t>
    </r>
    <r>
      <rPr>
        <sz val="10"/>
        <rFont val="Arial"/>
        <family val="2"/>
      </rPr>
      <t xml:space="preserve">: project or service funded by Department but provided/delivered to SFUSD by a third party.  </t>
    </r>
  </si>
  <si>
    <t>BUDGET FORM 4: Equipment Report and Request</t>
  </si>
  <si>
    <t xml:space="preserve">DOES THE DEPARTMENT'S BASE BUDGET SUBMISSION INCLUDE EQUIPMENT?  </t>
  </si>
  <si>
    <t xml:space="preserve">_____ YES    (if Yes, please complete Table 4B below)     _____ NO </t>
  </si>
  <si>
    <t>EQUIPMENT: Items that are $5,000 or more and have a useful life of three years or more. Items failing to meet either threshold should be budgeted in materials and supplies.</t>
  </si>
  <si>
    <t xml:space="preserve">TABLE 4A: GENERAL FUND EQUIPMENT REQUEST </t>
  </si>
  <si>
    <t>***NOTE ALL VEHICLE REQUESTS WILL BE VETTED BY FLEET MANAGEMENT AND THE DEPARTMENT OF THE ENVIRONMENT</t>
  </si>
  <si>
    <t xml:space="preserve">Departments that are making a General Fund equipment request that cannot be purchased within the proposed budget submission should complete this form.  </t>
  </si>
  <si>
    <t>Equipment numbers will be assigned after the Mayor's Budget Office finalizes citywide equipment allocations.  Enterprise departments do not need to complete this form.</t>
  </si>
  <si>
    <t>Please include installation costs (if applicable) in the budget request.</t>
  </si>
  <si>
    <t>Equipment requests that are part of a Technology Project Proposal should be included on Form 5 only.  Do not list the same equipment requests on Forms 4 and 5.</t>
  </si>
  <si>
    <t>Sales Tax:</t>
  </si>
  <si>
    <t>Priority #</t>
  </si>
  <si>
    <t>Equipment Item/Description</t>
  </si>
  <si>
    <t>New/
Replace</t>
  </si>
  <si>
    <t>Type (e.g. IT, Vehicle, Other)</t>
  </si>
  <si>
    <t>Number of Units</t>
  </si>
  <si>
    <t>Cost per Unit</t>
  </si>
  <si>
    <t>Total Cost</t>
  </si>
  <si>
    <t>Total Cost with Sales Tax</t>
  </si>
  <si>
    <t>Justifcation of Need</t>
  </si>
  <si>
    <t>GRAND TOTAL</t>
  </si>
  <si>
    <t>TABLE 4B: EQUIPMENT FUNDED IN OPERATING BUDGET</t>
  </si>
  <si>
    <t>NOTE: General Fund Departments may only use this table if they meet their reduction targets</t>
  </si>
  <si>
    <t>Equipment #</t>
  </si>
  <si>
    <t>Cost Per Unit</t>
  </si>
  <si>
    <t>Form 5: Technology Plan and Project Proposals</t>
  </si>
  <si>
    <t xml:space="preserve">placeholder - submitted online. See instructions document, Form 5 and Appendix E for details. </t>
  </si>
  <si>
    <t>BUDGET FORM 7: Position Changes</t>
  </si>
  <si>
    <t>Form 7: Describe all Position Changes</t>
  </si>
  <si>
    <t xml:space="preserve">Please Run Report 15.40.025: Form 7 Position Changes from the Budget System.  </t>
  </si>
  <si>
    <t>Please explain all position changes and indicate if the change will result in a layoff. (Report will automatically sort by Position Action Indicator)</t>
  </si>
  <si>
    <t>Budget System Report 15.40.025</t>
  </si>
  <si>
    <t>Position Action Indicator</t>
  </si>
  <si>
    <t>Reference Number</t>
  </si>
  <si>
    <t>Job Class</t>
  </si>
  <si>
    <t>Title</t>
  </si>
  <si>
    <t>Position Status Indicator</t>
  </si>
  <si>
    <t>Does this change result in a layoff (Y/N)</t>
  </si>
  <si>
    <t>FY 2014-15</t>
  </si>
  <si>
    <t>FY 2015-16</t>
  </si>
  <si>
    <t>Fill In</t>
  </si>
  <si>
    <t>Total Salary and Fringe Amount</t>
  </si>
  <si>
    <t>FTE Count</t>
  </si>
  <si>
    <t>Explanation of Addition or Reduction</t>
  </si>
  <si>
    <t xml:space="preserve">Interim Exception? (Y/N) If Yes - Explanation </t>
  </si>
  <si>
    <t>TOTAL</t>
  </si>
  <si>
    <t>BUDGET FORM 8: Local Legislative Changes Including Fee Changes Assumed in Submission</t>
  </si>
  <si>
    <t>Affirmation</t>
  </si>
  <si>
    <t>"x" if affirmation is true</t>
  </si>
  <si>
    <r>
      <t xml:space="preserve">My department does </t>
    </r>
    <r>
      <rPr>
        <b/>
        <sz val="11"/>
        <rFont val="Arial"/>
        <family val="2"/>
      </rPr>
      <t>not</t>
    </r>
    <r>
      <rPr>
        <sz val="11"/>
        <rFont val="Arial"/>
        <family val="2"/>
      </rPr>
      <t xml:space="preserve"> require any legislation to be filed with either year's budget.</t>
    </r>
  </si>
  <si>
    <t>Description of Local Legislation</t>
  </si>
  <si>
    <t>Resulting FY 2014-15
Revenue Increase/ (Decrease) 
or Expenditure Savings/ (Cost)</t>
  </si>
  <si>
    <t>Annualized FY 2015-16 
Revenue Increase/ (Decrease) 
or Expenditure Savings/ (Cost)</t>
  </si>
  <si>
    <t>Includes Fee (Yes/No)</t>
  </si>
  <si>
    <t>City Attorney Contact</t>
  </si>
  <si>
    <t>Resulting FY 2015-16 
Revenue Increase/ (Decrease) 
or Expenditure Savings/ (Cost)</t>
  </si>
  <si>
    <t>Annualized FY 2016-17 
Revenue Increase/ (Decrease) 
or Expenditure Savings/ (Cost)</t>
  </si>
  <si>
    <t>Please indicate if you have no legislation in the box at the top of the form.</t>
  </si>
  <si>
    <t>FY 2014-15 Changes - Contract Description</t>
  </si>
  <si>
    <t>FY 2013-14 Contractor Data</t>
  </si>
  <si>
    <t>Proposed FY 2014-15 
Contractor Data</t>
  </si>
  <si>
    <t xml:space="preserve">Changes 
(year over year) </t>
  </si>
  <si>
    <t>Contractor Name</t>
  </si>
  <si>
    <t>Non-Profit (Y/N)</t>
  </si>
  <si>
    <t>RFP in FY14-15 (Y/N)</t>
  </si>
  <si>
    <t>Brief Service/ Product Description</t>
  </si>
  <si>
    <t>Fund</t>
  </si>
  <si>
    <t>Type of Unit (e.g. licenses, widgets, etc.)</t>
  </si>
  <si>
    <t># Units</t>
  </si>
  <si>
    <t xml:space="preserve">Contract Term  </t>
  </si>
  <si>
    <t>Original Budget Amount (A)</t>
  </si>
  <si>
    <t>% GFS</t>
  </si>
  <si>
    <t xml:space="preserve">Total GF Support (C) </t>
  </si>
  <si>
    <t>Total Contract Hours</t>
  </si>
  <si>
    <t>Proposed Budget Amount (B)</t>
  </si>
  <si>
    <t>Total GF Support (D)</t>
  </si>
  <si>
    <t>Net Change Total             (B - A)</t>
  </si>
  <si>
    <t>Net Change GFS           (D - C)</t>
  </si>
  <si>
    <t>Change Contract Hours</t>
  </si>
  <si>
    <t>Brief Explanation of Service Impact</t>
  </si>
  <si>
    <t>Start (MM/DD/YY)</t>
  </si>
  <si>
    <t>End (MM/DD/YY)</t>
  </si>
  <si>
    <t>Total # Years</t>
  </si>
  <si>
    <t>FY 2015-16 Changes - Contract Description</t>
  </si>
  <si>
    <t>Proposed FY 2014-15
Contractor Data</t>
  </si>
  <si>
    <t>Proposed FY 2015-16
Contractor Data</t>
  </si>
  <si>
    <t>RFP in FY15-16 (Y/N)</t>
  </si>
  <si>
    <t>Changes</t>
  </si>
  <si>
    <t>RFP in FY 14-15 (Y/N)</t>
  </si>
  <si>
    <t>Subobject*</t>
  </si>
  <si>
    <t>Proposed FY 2015-16 
Contractor Data</t>
  </si>
  <si>
    <t>RFP in FY 15-16 (Y/N)</t>
  </si>
  <si>
    <t>* For ICT contracts list one of the Subobjects below to capture all IT related appropriations and expenditures:</t>
  </si>
  <si>
    <t>02761</t>
  </si>
  <si>
    <t>Systems Consulting Services</t>
  </si>
  <si>
    <t>04921</t>
  </si>
  <si>
    <t>Data Processing Supplies</t>
  </si>
  <si>
    <t>02911</t>
  </si>
  <si>
    <t>DP/WP (Data Processing/Word Processing) Equipment Maintenance</t>
  </si>
  <si>
    <t>04973</t>
  </si>
  <si>
    <t>Data Bases - Library Only</t>
  </si>
  <si>
    <t>03111</t>
  </si>
  <si>
    <t>Data Processing Equipment Rental</t>
  </si>
  <si>
    <t>06061</t>
  </si>
  <si>
    <t>Data Processing Equipment</t>
  </si>
  <si>
    <t>03596</t>
  </si>
  <si>
    <t>Software Licensing Fees</t>
  </si>
  <si>
    <t>06161</t>
  </si>
  <si>
    <t>Data Processing Equipment - Lease/Purchase-Initial</t>
  </si>
  <si>
    <t>Please Fill Out Highlighted Areas Only.</t>
  </si>
  <si>
    <t xml:space="preserve">PROP J ANALYSIS SUMMARY </t>
  </si>
  <si>
    <t>FISCAL YEAR 2013-14</t>
  </si>
  <si>
    <r>
      <t xml:space="preserve">City Cost, given that services </t>
    </r>
    <r>
      <rPr>
        <b/>
        <u/>
        <sz val="10"/>
        <rFont val="Arial"/>
        <family val="2"/>
      </rPr>
      <t xml:space="preserve">are not </t>
    </r>
    <r>
      <rPr>
        <b/>
        <sz val="10"/>
        <rFont val="Arial"/>
        <family val="2"/>
      </rPr>
      <t>contracted out</t>
    </r>
  </si>
  <si>
    <t xml:space="preserve">low range </t>
  </si>
  <si>
    <t xml:space="preserve">high range </t>
  </si>
  <si>
    <t xml:space="preserve">Total Annual Salary </t>
  </si>
  <si>
    <t xml:space="preserve">Total Other Pay </t>
  </si>
  <si>
    <t>Total Fringe Benefits</t>
  </si>
  <si>
    <t>Additional City Costs</t>
  </si>
  <si>
    <r>
      <t xml:space="preserve">Less: City Cost, given that services </t>
    </r>
    <r>
      <rPr>
        <b/>
        <u/>
        <sz val="10"/>
        <rFont val="Arial"/>
        <family val="2"/>
      </rPr>
      <t>are</t>
    </r>
    <r>
      <rPr>
        <b/>
        <sz val="10"/>
        <rFont val="Arial"/>
        <family val="2"/>
      </rPr>
      <t xml:space="preserve"> contracted out</t>
    </r>
  </si>
  <si>
    <t>Contract Cost</t>
  </si>
  <si>
    <t xml:space="preserve">Contract Monitoring  </t>
  </si>
  <si>
    <r>
      <t xml:space="preserve">City Savings from Contracting Out, </t>
    </r>
    <r>
      <rPr>
        <sz val="10"/>
        <color indexed="8"/>
        <rFont val="Arial"/>
        <family val="2"/>
      </rPr>
      <t>Savings/(Cost)</t>
    </r>
  </si>
  <si>
    <t xml:space="preserve">Departmental Contact </t>
  </si>
  <si>
    <t>Phone:</t>
  </si>
  <si>
    <t>Email:</t>
  </si>
  <si>
    <r>
      <rPr>
        <b/>
        <i/>
        <sz val="10"/>
        <color indexed="8"/>
        <rFont val="Arial"/>
        <family val="2"/>
      </rPr>
      <t>Contract Cost Contact</t>
    </r>
    <r>
      <rPr>
        <sz val="10"/>
        <color indexed="8"/>
        <rFont val="Arial"/>
        <family val="2"/>
      </rPr>
      <t>, if different from Department contact</t>
    </r>
  </si>
  <si>
    <t>For updated retirement rate information, please see Appendix A of the instructions document.</t>
  </si>
  <si>
    <r>
      <t xml:space="preserve">COMPARATIVE COSTS OF CONTRACTING VS. IN-HOUSE SERVICES </t>
    </r>
    <r>
      <rPr>
        <sz val="8"/>
        <rFont val="Arial"/>
        <family val="2"/>
      </rPr>
      <t xml:space="preserve"> (1) (2)</t>
    </r>
  </si>
  <si>
    <t>To Be Completed by Controller's Office:</t>
  </si>
  <si>
    <t>ESTIMATED CITY COSTS:</t>
  </si>
  <si>
    <t>Fringe Benefits:</t>
  </si>
  <si>
    <t>PROJECTED PERSONNEL COSTS</t>
  </si>
  <si>
    <t>Job Class Title</t>
  </si>
  <si>
    <t>Class</t>
  </si>
  <si>
    <t># of Full Time Equivalent Positions</t>
  </si>
  <si>
    <t>Bi-Weekly Rate</t>
  </si>
  <si>
    <t>Low</t>
  </si>
  <si>
    <t>High</t>
  </si>
  <si>
    <t>Retirement Indicator</t>
  </si>
  <si>
    <t>Union</t>
  </si>
  <si>
    <t>Fixed ($)</t>
  </si>
  <si>
    <t>Variable Rate (%)</t>
  </si>
  <si>
    <t>Variable Low ($)</t>
  </si>
  <si>
    <t>Variable High ($)</t>
  </si>
  <si>
    <t>S</t>
  </si>
  <si>
    <t>Y</t>
  </si>
  <si>
    <t>N</t>
  </si>
  <si>
    <t>Holiday Pay (if applicable)</t>
  </si>
  <si>
    <t>n/a</t>
  </si>
  <si>
    <t>Night / Shift Differential (if applicable)</t>
  </si>
  <si>
    <t>Overtime Pay (if applicable)</t>
  </si>
  <si>
    <t>Other Pay (if applicable)</t>
  </si>
  <si>
    <t>Total Salary Costs</t>
  </si>
  <si>
    <t xml:space="preserve"> </t>
  </si>
  <si>
    <t>FRINGE BENEFITS</t>
  </si>
  <si>
    <r>
      <t xml:space="preserve">Variable Fringes </t>
    </r>
    <r>
      <rPr>
        <sz val="8"/>
        <color indexed="8"/>
        <rFont val="Arial"/>
        <family val="2"/>
      </rPr>
      <t>(3)</t>
    </r>
  </si>
  <si>
    <r>
      <t>Fixed Fringes</t>
    </r>
    <r>
      <rPr>
        <sz val="8"/>
        <rFont val="Arial"/>
        <family val="2"/>
      </rPr>
      <t xml:space="preserve"> (4)</t>
    </r>
  </si>
  <si>
    <r>
      <t>ADDITIONAL CITY COSTS</t>
    </r>
    <r>
      <rPr>
        <sz val="10"/>
        <rFont val="Arial"/>
        <family val="2"/>
      </rPr>
      <t xml:space="preserve"> (if applicable)</t>
    </r>
  </si>
  <si>
    <t>Total Capital &amp; Operating</t>
  </si>
  <si>
    <t>ESTIMATED TOTAL CITY COST</t>
  </si>
  <si>
    <t>LESS:  ESTIMATED TOTAL CONTRACT COST</t>
  </si>
  <si>
    <t>ESTIMATED SAVINGS</t>
  </si>
  <si>
    <t>% of Savings to City Cost</t>
  </si>
  <si>
    <t>Comments/Assumptions:</t>
  </si>
  <si>
    <t>2.  Salary levels reflect proposed salary rates effective July 1, 2014. Costs are represented as annual 12 month costs.</t>
  </si>
  <si>
    <t>3.  Variable fringe benefits consist of Social Security, Medicare, employer retirement, employee retirement pick-up and long-term disability, where applicable.</t>
  </si>
  <si>
    <t>4.  Fixed fringe benefits consist of health and dental rates plus an estimate of dependent coverage.</t>
  </si>
  <si>
    <t>&lt;List any other comments or assumptions&gt;</t>
  </si>
  <si>
    <t>Contract Cost Details</t>
  </si>
  <si>
    <t>Contract Monitoring Costs:</t>
  </si>
  <si>
    <t>Estimated Contract Cost:</t>
  </si>
  <si>
    <t>Does/would contract require monitoring? If yes, fill out the details below. If not, explain why.</t>
  </si>
  <si>
    <t>Salary:</t>
  </si>
  <si>
    <t>Contract Cost Calculation:</t>
  </si>
  <si>
    <t># of FTEs</t>
  </si>
  <si>
    <t>Biweekly Rate</t>
  </si>
  <si>
    <t xml:space="preserve">Low </t>
  </si>
  <si>
    <t>Please show all calculations made to estimate contract cost. Describe assumptions and source of data above.</t>
  </si>
  <si>
    <t>Benefits:</t>
  </si>
  <si>
    <t>Fixed * FTE ($)</t>
  </si>
  <si>
    <t>Total Fringe Low ($)</t>
  </si>
  <si>
    <t>Total Fringe High ($)</t>
  </si>
  <si>
    <r>
      <t xml:space="preserve">1. </t>
    </r>
    <r>
      <rPr>
        <b/>
        <u/>
        <sz val="10"/>
        <color indexed="8"/>
        <rFont val="Arial"/>
        <family val="2"/>
      </rPr>
      <t>List all assumptions</t>
    </r>
    <r>
      <rPr>
        <b/>
        <sz val="10"/>
        <color indexed="8"/>
        <rFont val="Arial"/>
        <family val="2"/>
      </rPr>
      <t xml:space="preserve"> made in calculating contract cost.</t>
    </r>
  </si>
  <si>
    <t>Include any private wage rates, population estimates, square footage estimates or other data used in calculating your contract cost.</t>
  </si>
  <si>
    <t>1)</t>
  </si>
  <si>
    <t>2)</t>
  </si>
  <si>
    <t>3)</t>
  </si>
  <si>
    <t>4)</t>
  </si>
  <si>
    <t>2. What is the source of data used to calculate the contract cost?</t>
  </si>
  <si>
    <t>3. What year is your data from?</t>
  </si>
  <si>
    <t>4. If contract cost is based on RFP, was the RFP for comparable services?  Was RFP for San Francisco?</t>
  </si>
  <si>
    <t>MUNICIPAL TRANSPORTATION AGENCY</t>
  </si>
  <si>
    <t>PARATRANSIT SERVICES</t>
  </si>
  <si>
    <t>Transit Operators</t>
  </si>
  <si>
    <r>
      <t>Chauffeur</t>
    </r>
    <r>
      <rPr>
        <sz val="8"/>
        <rFont val="Arial"/>
        <family val="2"/>
      </rPr>
      <t xml:space="preserve">  (3)</t>
    </r>
  </si>
  <si>
    <t>Auto Mechanic Assistant Supervisor</t>
  </si>
  <si>
    <t>Auto Mechanic</t>
  </si>
  <si>
    <t>Auto Service Worker</t>
  </si>
  <si>
    <t>Transit Car Cleaner</t>
  </si>
  <si>
    <t>Transit Manager II</t>
  </si>
  <si>
    <t>Transit Manager I</t>
  </si>
  <si>
    <t>Transit Supervisor</t>
  </si>
  <si>
    <t>Senior Clerk Typist</t>
  </si>
  <si>
    <t>Senior Eligibility Worker</t>
  </si>
  <si>
    <t>Holiday Pay</t>
  </si>
  <si>
    <t>Night / Shift Differential</t>
  </si>
  <si>
    <r>
      <t xml:space="preserve">Variable Fringes </t>
    </r>
    <r>
      <rPr>
        <sz val="8"/>
        <color indexed="8"/>
        <rFont val="Arial"/>
        <family val="2"/>
      </rPr>
      <t>(4)</t>
    </r>
  </si>
  <si>
    <r>
      <t>Fixed Fringes</t>
    </r>
    <r>
      <rPr>
        <sz val="8"/>
        <rFont val="Arial"/>
        <family val="2"/>
      </rPr>
      <t xml:space="preserve"> (5)</t>
    </r>
  </si>
  <si>
    <r>
      <t>ADDITIONAL CITY COSTS</t>
    </r>
    <r>
      <rPr>
        <u/>
        <sz val="8"/>
        <rFont val="Arial"/>
        <family val="2"/>
      </rPr>
      <t xml:space="preserve"> (6)</t>
    </r>
  </si>
  <si>
    <t>200 Autos</t>
  </si>
  <si>
    <t>155 Vans</t>
  </si>
  <si>
    <t>364 2-Way Radios</t>
  </si>
  <si>
    <t>Claims</t>
  </si>
  <si>
    <r>
      <t xml:space="preserve">LESS:  ESTIMATED TOTAL CONTRACT COST </t>
    </r>
    <r>
      <rPr>
        <sz val="8"/>
        <rFont val="Arial"/>
        <family val="2"/>
      </rPr>
      <t>(7)</t>
    </r>
  </si>
  <si>
    <t>1.  FY 1983-84 was the first year these services were contracted out.</t>
  </si>
  <si>
    <t>2.  Salary levels reflect proposed salary rates effective July 1, 2013. Costs are represented as annual 12 month costs.</t>
  </si>
  <si>
    <t>5. Classification has been abolished; this analysis assumes the class would be reestablished with a compensation rate equivalent to related classes, estimated to be at 80% of the Transit Operator class.</t>
  </si>
  <si>
    <t>6.  Capital &amp; operating costs for vehicles has been estimated based upon IRS mileage standards.</t>
  </si>
  <si>
    <t>7.  The Estimated Contract Cost for annual service is based upon contractor's bid for services and contract monitoring costs.</t>
  </si>
  <si>
    <t>Make and model</t>
  </si>
  <si>
    <t>VIN</t>
  </si>
  <si>
    <t>In-service date</t>
  </si>
  <si>
    <t>Total mileage</t>
  </si>
  <si>
    <t>Information on vehicle being replaced</t>
  </si>
  <si>
    <t>Form 6: Capital Budget Request Form</t>
  </si>
  <si>
    <t>BUDGET FORM 9A: Major Contract Changes (non-ICT)</t>
  </si>
  <si>
    <t>BUDGET FORM 9B: Changes for Enterprise IT and Telecom Contracts for Procurements and Services</t>
  </si>
  <si>
    <t xml:space="preserve">placeholder - submitted online. See instructions document, Form 6 for details. </t>
  </si>
  <si>
    <t>Departments should not budget in Objects 063 and 064</t>
  </si>
  <si>
    <t>Budget Form 2C: Fee Cost Recovery</t>
  </si>
  <si>
    <t>PLEASE FILL OUT HIGHLIGHTED AREAS AND PROVIDE A DETAILED DESCRIPTION OF THE SERVICE</t>
  </si>
  <si>
    <t>ABC</t>
  </si>
  <si>
    <t xml:space="preserve">Fee Name:   </t>
  </si>
  <si>
    <t xml:space="preserve">Department Providing Service: </t>
  </si>
  <si>
    <t xml:space="preserve">Index Code of Proposed Revenue: </t>
  </si>
  <si>
    <t xml:space="preserve">Fee Administrator: </t>
  </si>
  <si>
    <t xml:space="preserve">SubObject of Proposed Revenue: </t>
  </si>
  <si>
    <t xml:space="preserve">Code Authorization/
Proposed Fee Ordinance/File No: </t>
  </si>
  <si>
    <t>Fee Status (New/Modified):</t>
  </si>
  <si>
    <t>New</t>
  </si>
  <si>
    <t>Proposed Fee (FY 2015-16):</t>
  </si>
  <si>
    <t>Proposed Fee (FY 2014-15):</t>
  </si>
  <si>
    <t>Current Fee    (FY 2013-14):</t>
  </si>
  <si>
    <t>Detailed Service Description:</t>
  </si>
  <si>
    <t>Please provide description of service</t>
  </si>
  <si>
    <t>FY 2015-16 Proposed Fee Increase/Decrease:</t>
  </si>
  <si>
    <t>FY 2015-16 % Proposed Fee Change from FY 2014-15 Fee:</t>
  </si>
  <si>
    <t>FY 2014-15 Proposed Fee Increase/Decrease:</t>
  </si>
  <si>
    <t>FY 2014-15 % Proposed Fee Change from Current Fee:</t>
  </si>
  <si>
    <t>Fee Prior to Current:</t>
  </si>
  <si>
    <t>Fiscal Year of Prior Fee Change:</t>
  </si>
  <si>
    <t>2010-11</t>
  </si>
  <si>
    <t>Current Fee Increase/Decrease from Prior Fee:</t>
  </si>
  <si>
    <t>% Current Fee Change from Prior Fee:</t>
  </si>
  <si>
    <t>FY2014-15</t>
  </si>
  <si>
    <r>
      <t xml:space="preserve">ESTIMATED COSTS TO PROVIDE SERVICE - </t>
    </r>
    <r>
      <rPr>
        <b/>
        <sz val="11"/>
        <color rgb="FFFF0000"/>
        <rFont val="Arial"/>
        <family val="2"/>
      </rPr>
      <t>USE WORKSHEET_14-15 TAB</t>
    </r>
  </si>
  <si>
    <t>FY 2014-15
Estimated Cost</t>
  </si>
  <si>
    <t>Other (Please Describe on Worksheet)</t>
  </si>
  <si>
    <r>
      <t>Fee per Unit (</t>
    </r>
    <r>
      <rPr>
        <b/>
        <i/>
        <sz val="11"/>
        <rFont val="Arial"/>
        <family val="2"/>
      </rPr>
      <t>Proposed</t>
    </r>
    <r>
      <rPr>
        <b/>
        <sz val="11"/>
        <rFont val="Arial"/>
        <family val="2"/>
      </rPr>
      <t>)</t>
    </r>
  </si>
  <si>
    <t>Central Services Overhead</t>
  </si>
  <si>
    <t>FY 2014-15 Revenue Budgeted (A x B)</t>
  </si>
  <si>
    <t>FY 2014-15 Direct &amp; Indirect Costs</t>
  </si>
  <si>
    <t>FY 2014-15 Revenue Recovery Rate (C/F)</t>
  </si>
  <si>
    <t>J</t>
  </si>
  <si>
    <t>FY 2014-15 Estimated Revenue [ (2) x A ]:</t>
  </si>
  <si>
    <t>K</t>
  </si>
  <si>
    <t>FY 2013-14 Estimated Revenue [ (3) x A ]:</t>
  </si>
  <si>
    <t>L</t>
  </si>
  <si>
    <t>FY 2014-15 Estimated Revenue Increase/Decrease Based on Proposed Fee [J -K]:</t>
  </si>
  <si>
    <t>FY2015-16</t>
  </si>
  <si>
    <r>
      <t xml:space="preserve">ESTIMATED COSTS TO PROVIDE SERVICE - </t>
    </r>
    <r>
      <rPr>
        <b/>
        <sz val="11"/>
        <color rgb="FFFF0000"/>
        <rFont val="Arial"/>
        <family val="2"/>
      </rPr>
      <t>USE WORKSHEET_15-16 TAB</t>
    </r>
  </si>
  <si>
    <t>FY 2014-15 Estimated Cost</t>
  </si>
  <si>
    <t>Productive Labor &amp; Benefits (0.75 of 2013-14 Salary &amp; MFB)</t>
  </si>
  <si>
    <t>Leave &amp; Non-Productive Time (0.25 of FY 2013-14 Salary &amp; MFB)</t>
  </si>
  <si>
    <t>FY 2015-16 Revenue Budgeted (A x B)</t>
  </si>
  <si>
    <t>FY 2015-16 Direct &amp; Indirect Costs</t>
  </si>
  <si>
    <t>FY 2015-16 Revenue Recovery Rate (C/F):</t>
  </si>
  <si>
    <t>Required Fee For 100% Cost Recovery (F/A):</t>
  </si>
  <si>
    <t>Over (+) or Under (-) 100% Cost Recovery (B-H):</t>
  </si>
  <si>
    <t>FY 2015-16 Estimated Revenue [ (1) x A ]:</t>
  </si>
  <si>
    <t>FY 2015-16 Estimated Revenue Increase/Decrease Based on Proposed Fee [J - K]:</t>
  </si>
  <si>
    <t>Worksheet 14-15</t>
  </si>
  <si>
    <t>Estimated Costs Worksheet FY 2014-15</t>
  </si>
  <si>
    <t>Labor and Benefits</t>
  </si>
  <si>
    <t>Please use the worksheet below to list all job classes necessary to support the services provided. Add rows if necessary.</t>
  </si>
  <si>
    <t>Please also provide a description of the work and the estimated hours for each job class required to perform each unit of service</t>
  </si>
  <si>
    <t>JobClass</t>
  </si>
  <si>
    <t>Description of Work</t>
  </si>
  <si>
    <t>Hours per Unit of Service</t>
  </si>
  <si>
    <t>Test</t>
  </si>
  <si>
    <t>Processes Payment</t>
  </si>
  <si>
    <t>Please fill out the Salary and Benefits Amount per FTE column</t>
  </si>
  <si>
    <t>Salary and Benefits Amount per FTE</t>
  </si>
  <si>
    <t>Hours Worked</t>
  </si>
  <si>
    <t>Hourly Rate</t>
  </si>
  <si>
    <t>Salary and Benefits Amount</t>
  </si>
  <si>
    <t>Total:</t>
  </si>
  <si>
    <t>Please list and describe the costs of space/facility rental necessary to support the services provided. Add rows as necessary. Ensure that the 'Total' includes the sum of all rows with cost information.</t>
  </si>
  <si>
    <t>Cost</t>
  </si>
  <si>
    <t>Payment facility</t>
  </si>
  <si>
    <t>Materials and Supplies</t>
  </si>
  <si>
    <t>Other Costs</t>
  </si>
  <si>
    <t>Source</t>
  </si>
  <si>
    <t xml:space="preserve">Please provide supporting documentation for how Departmental overhead rate was derived. </t>
  </si>
  <si>
    <t>Estimated Costs Worksheet FY 2015-16</t>
  </si>
  <si>
    <t>NOTE - This form should go directly to Central Shops. Please see instructions document, Appendix B.</t>
  </si>
  <si>
    <t>VEHICLE / EQUIPMENT ACQUISITION REQUEST</t>
  </si>
  <si>
    <t>Vehicle / Equipment # (to be assigned by Fleet Mgmt)</t>
  </si>
  <si>
    <t>City and County of San Francisco</t>
  </si>
  <si>
    <t>GSA Fleet Management - Central Shops</t>
  </si>
  <si>
    <t>Requisition # (if available by dept)</t>
  </si>
  <si>
    <t>Form #: FMCS 100 (revised 10/2012)</t>
  </si>
  <si>
    <t>SECTION A - CONTACT INFO</t>
  </si>
  <si>
    <t>DEPARTMENT</t>
  </si>
  <si>
    <t>DIVISION / OFFICE</t>
  </si>
  <si>
    <t>DEPT CODE</t>
  </si>
  <si>
    <t>FLEET COORDINATOR</t>
  </si>
  <si>
    <t>EMAIL ADDRESS</t>
  </si>
  <si>
    <t>OFFICE ADDRESS</t>
  </si>
  <si>
    <t>CITY / ZIP</t>
  </si>
  <si>
    <t>TELEPHONE</t>
  </si>
  <si>
    <t>SECTION B - VEHICLE PURCHASE INFO</t>
  </si>
  <si>
    <t>TYPE OF VEHICLE(S): YEAR, MAKE, MODEL, SPECIAL EQUIPMENT AND OTHER REQUIREMENTS.</t>
  </si>
  <si>
    <t>First Choice</t>
  </si>
  <si>
    <t>Second Choice</t>
  </si>
  <si>
    <t>INFO ON ACQUISITION (CHECK BOXES AND FILL IN BLANKS AS REQUIRED)</t>
  </si>
  <si>
    <r>
      <t xml:space="preserve">1:  TYPE OF PURCHASE     </t>
    </r>
    <r>
      <rPr>
        <sz val="8"/>
        <rFont val="Wingdings"/>
        <charset val="2"/>
      </rPr>
      <t>o</t>
    </r>
    <r>
      <rPr>
        <sz val="8"/>
        <rFont val="Arial"/>
        <family val="2"/>
      </rPr>
      <t xml:space="preserve">DEPT FUNDED          </t>
    </r>
    <r>
      <rPr>
        <sz val="8"/>
        <rFont val="Wingdings"/>
        <charset val="2"/>
      </rPr>
      <t>o</t>
    </r>
    <r>
      <rPr>
        <sz val="8"/>
        <rFont val="Arial"/>
        <family val="2"/>
      </rPr>
      <t xml:space="preserve">GSA-VEHICLE LEASING PROGRAM          </t>
    </r>
    <r>
      <rPr>
        <sz val="8"/>
        <rFont val="Wingdings"/>
        <charset val="2"/>
      </rPr>
      <t>o</t>
    </r>
    <r>
      <rPr>
        <sz val="8"/>
        <rFont val="Arial"/>
        <family val="2"/>
      </rPr>
      <t>OTHER ___________________________</t>
    </r>
  </si>
  <si>
    <r>
      <t xml:space="preserve">2:  SOURCE OF FUNDS     </t>
    </r>
    <r>
      <rPr>
        <sz val="8"/>
        <rFont val="Wingdings"/>
        <charset val="2"/>
      </rPr>
      <t>o</t>
    </r>
    <r>
      <rPr>
        <sz val="8"/>
        <rFont val="Arial"/>
        <family val="2"/>
      </rPr>
      <t xml:space="preserve">G/F (GENERAL FUND)          </t>
    </r>
    <r>
      <rPr>
        <sz val="8"/>
        <rFont val="Wingdings"/>
        <charset val="2"/>
      </rPr>
      <t>o</t>
    </r>
    <r>
      <rPr>
        <sz val="8"/>
        <rFont val="Arial"/>
        <family val="2"/>
      </rPr>
      <t xml:space="preserve">NON-G/F          </t>
    </r>
    <r>
      <rPr>
        <sz val="8"/>
        <rFont val="Wingdings"/>
        <charset val="2"/>
      </rPr>
      <t>o</t>
    </r>
    <r>
      <rPr>
        <sz val="8"/>
        <rFont val="Arial"/>
        <family val="2"/>
      </rPr>
      <t xml:space="preserve">GRANTS          </t>
    </r>
    <r>
      <rPr>
        <sz val="8"/>
        <rFont val="Wingdings"/>
        <charset val="2"/>
      </rPr>
      <t>o</t>
    </r>
    <r>
      <rPr>
        <sz val="8"/>
        <rFont val="Arial"/>
        <family val="2"/>
      </rPr>
      <t>OTHER ______________________________</t>
    </r>
  </si>
  <si>
    <t>3:  BUDGET NUMBER ________________________________           INDEX CODE (if applicable) ____________________________________</t>
  </si>
  <si>
    <r>
      <t xml:space="preserve">4:  PURPOSE     </t>
    </r>
    <r>
      <rPr>
        <sz val="8"/>
        <rFont val="Wingdings"/>
        <charset val="2"/>
      </rPr>
      <t>o</t>
    </r>
    <r>
      <rPr>
        <sz val="8"/>
        <rFont val="Arial"/>
        <family val="2"/>
      </rPr>
      <t xml:space="preserve">REPLACE EXISTING INVENTORY          </t>
    </r>
    <r>
      <rPr>
        <sz val="8"/>
        <rFont val="Wingdings"/>
        <charset val="2"/>
      </rPr>
      <t>o</t>
    </r>
    <r>
      <rPr>
        <sz val="8"/>
        <rFont val="Arial"/>
        <family val="2"/>
      </rPr>
      <t>ADD TO EXISTING          HOW MANY _________________________________</t>
    </r>
  </si>
  <si>
    <t>5:  FUEL TYPE</t>
  </si>
  <si>
    <r>
      <t>o</t>
    </r>
    <r>
      <rPr>
        <sz val="8"/>
        <rFont val="Arial"/>
        <family val="2"/>
      </rPr>
      <t>GASOLINE</t>
    </r>
  </si>
  <si>
    <r>
      <t>o</t>
    </r>
    <r>
      <rPr>
        <sz val="8"/>
        <rFont val="Arial"/>
        <family val="2"/>
      </rPr>
      <t>DIESEL</t>
    </r>
  </si>
  <si>
    <r>
      <t>o</t>
    </r>
    <r>
      <rPr>
        <sz val="8"/>
        <rFont val="Arial"/>
        <family val="2"/>
      </rPr>
      <t>CNG</t>
    </r>
  </si>
  <si>
    <r>
      <t>o</t>
    </r>
    <r>
      <rPr>
        <sz val="8"/>
        <rFont val="Arial"/>
        <family val="2"/>
      </rPr>
      <t>HYBRID</t>
    </r>
  </si>
  <si>
    <r>
      <t>o</t>
    </r>
    <r>
      <rPr>
        <sz val="8"/>
        <rFont val="Arial"/>
        <family val="2"/>
      </rPr>
      <t>PROPANE</t>
    </r>
  </si>
  <si>
    <r>
      <t>o</t>
    </r>
    <r>
      <rPr>
        <sz val="8"/>
        <rFont val="Arial"/>
        <family val="2"/>
      </rPr>
      <t>ETHANOL</t>
    </r>
  </si>
  <si>
    <r>
      <t>o</t>
    </r>
    <r>
      <rPr>
        <sz val="8"/>
        <rFont val="Arial"/>
        <family val="2"/>
      </rPr>
      <t>OTHER ________________</t>
    </r>
  </si>
  <si>
    <r>
      <t xml:space="preserve">6:  VEHICLE SPECIFICATION     </t>
    </r>
    <r>
      <rPr>
        <sz val="8"/>
        <rFont val="Wingdings"/>
        <charset val="2"/>
      </rPr>
      <t>o</t>
    </r>
    <r>
      <rPr>
        <sz val="8"/>
        <rFont val="Arial"/>
        <family val="2"/>
      </rPr>
      <t xml:space="preserve">TERM CONTRACT          </t>
    </r>
    <r>
      <rPr>
        <sz val="8"/>
        <rFont val="Wingdings"/>
        <charset val="2"/>
      </rPr>
      <t>p</t>
    </r>
    <r>
      <rPr>
        <sz val="8"/>
        <rFont val="Arial"/>
        <family val="2"/>
      </rPr>
      <t xml:space="preserve">PRELIMINARY ATTACHED (or e-mail)         </t>
    </r>
    <r>
      <rPr>
        <sz val="8"/>
        <rFont val="Wingdings"/>
        <charset val="2"/>
      </rPr>
      <t>o</t>
    </r>
    <r>
      <rPr>
        <sz val="8"/>
        <rFont val="Arial"/>
        <family val="2"/>
      </rPr>
      <t>FINAL ATTACHED (or e-mail)</t>
    </r>
  </si>
  <si>
    <t>SECTION C - JUSTIFICATION</t>
  </si>
  <si>
    <t>EXPLAIN WHY A REPLACEMENT AND/OR NEW VEHICLE IS NECESSARY.</t>
  </si>
  <si>
    <t>EXPLAIN WHAT EFFORTS WERE TAKEN TO IDENTIFY ANOTHER UNDERUTILIZED VEHICLE.</t>
  </si>
  <si>
    <t>EXPLAIN THE NEGATIVE IMPACT IF THIS PURCHASE REQUEST IS DENIED.</t>
  </si>
  <si>
    <t>SECTION D - VEHICLE TO BE REPLACED (if applicable)</t>
  </si>
  <si>
    <t>CITY VEHICLE ID NUMBER</t>
  </si>
  <si>
    <t>LICENSE NUMBER</t>
  </si>
  <si>
    <t>YEAR</t>
  </si>
  <si>
    <t>MAKE</t>
  </si>
  <si>
    <t>MODEL</t>
  </si>
  <si>
    <t>MILES/HOURS</t>
  </si>
  <si>
    <t>SECTION E - REQUESTING DEPARTMENTAL SIGNATURES</t>
  </si>
  <si>
    <t>PREPARED BY</t>
  </si>
  <si>
    <t>DATE</t>
  </si>
  <si>
    <t>APPROVED BY</t>
  </si>
  <si>
    <t>TITLE</t>
  </si>
  <si>
    <t>SIGNATURE</t>
  </si>
  <si>
    <r>
      <t xml:space="preserve">APPROVED BY </t>
    </r>
    <r>
      <rPr>
        <sz val="7"/>
        <rFont val="Arial"/>
        <family val="2"/>
      </rPr>
      <t>(dept 2nd level)</t>
    </r>
  </si>
  <si>
    <t>SECTION F - DEPARTMENT OF THE ENVIRONMENT CLEAN AIR VEHICLE WAIVER (if applicable)</t>
  </si>
  <si>
    <t>EXPLAIN WHY A CLEAN AIR WAIVER IS NECESSARY.</t>
  </si>
  <si>
    <t>DEPARTMENT HEAD</t>
  </si>
  <si>
    <t>SECTION G - FLEET MANAGEMENT DEPARTMENT USE ONLY</t>
  </si>
  <si>
    <r>
      <t xml:space="preserve">o </t>
    </r>
    <r>
      <rPr>
        <sz val="8"/>
        <rFont val="Arial"/>
        <family val="2"/>
      </rPr>
      <t>DENIED</t>
    </r>
  </si>
  <si>
    <t>Needs Waiver   Yes   No   NA</t>
  </si>
  <si>
    <r>
      <t xml:space="preserve">o </t>
    </r>
    <r>
      <rPr>
        <sz val="8"/>
        <rFont val="Arial"/>
        <family val="2"/>
      </rPr>
      <t>CONDITIONAL APPROVAL (pending specs review)</t>
    </r>
  </si>
  <si>
    <t>BY</t>
  </si>
  <si>
    <r>
      <t xml:space="preserve">o </t>
    </r>
    <r>
      <rPr>
        <sz val="8"/>
        <rFont val="Arial"/>
        <family val="2"/>
      </rPr>
      <t>FINAL APPROVAL</t>
    </r>
  </si>
  <si>
    <t>SECTION H - DEPARTMENT OF THE ENVIRONMENT USE ONLY</t>
  </si>
  <si>
    <t>REASON</t>
  </si>
  <si>
    <r>
      <t xml:space="preserve">o </t>
    </r>
    <r>
      <rPr>
        <sz val="8"/>
        <rFont val="Arial"/>
        <family val="2"/>
      </rPr>
      <t>APPROVED</t>
    </r>
  </si>
  <si>
    <t>Return completed form to Fleet Management - Central Shops</t>
  </si>
  <si>
    <t>fleet.purchase@sfgov.org            1800 Jerrold Ave., San Francisco, CA 94124 (415) 550-4600</t>
  </si>
  <si>
    <t>Dept. #</t>
  </si>
  <si>
    <t>Code</t>
  </si>
  <si>
    <t>Department Name</t>
  </si>
  <si>
    <t>Controller's Office</t>
  </si>
  <si>
    <t>Mayor's Office</t>
  </si>
  <si>
    <t>Mayor's Budget Office</t>
  </si>
  <si>
    <t>Controller's Budget Office</t>
  </si>
  <si>
    <t>AAM</t>
  </si>
  <si>
    <t>Asian Art Museum</t>
  </si>
  <si>
    <t>Risa Sandler</t>
  </si>
  <si>
    <t>Jason Cunningham</t>
  </si>
  <si>
    <t>Kate Howard</t>
  </si>
  <si>
    <t>(415) 554-6515</t>
  </si>
  <si>
    <t>Michelle Allersma</t>
  </si>
  <si>
    <r>
      <t xml:space="preserve">(415) </t>
    </r>
    <r>
      <rPr>
        <sz val="12"/>
        <color theme="1"/>
        <rFont val="Calibri"/>
        <family val="2"/>
        <scheme val="minor"/>
      </rPr>
      <t>554-4792</t>
    </r>
  </si>
  <si>
    <t>ADM-ADM</t>
  </si>
  <si>
    <t>General Services Agency - Administrative Svcs</t>
  </si>
  <si>
    <t>Leo Chyi</t>
  </si>
  <si>
    <t>(415) 554-4796</t>
  </si>
  <si>
    <t>Yuri Harden</t>
  </si>
  <si>
    <t>(415) 554-7535</t>
  </si>
  <si>
    <t>ADM-AGW</t>
  </si>
  <si>
    <t xml:space="preserve">   Admin. Services - Consumer Assurance</t>
  </si>
  <si>
    <t>(415) 554-6982</t>
  </si>
  <si>
    <t>Theresa Kao</t>
  </si>
  <si>
    <t>(415) 554-5253</t>
  </si>
  <si>
    <t>ADM-ANC</t>
  </si>
  <si>
    <t xml:space="preserve">   Admin. Services - Animal Care &amp; Control</t>
  </si>
  <si>
    <t>Antonio Guerra</t>
  </si>
  <si>
    <t>(415) 554-6617</t>
  </si>
  <si>
    <t>Deric Licko</t>
  </si>
  <si>
    <t>(415) 554-7518</t>
  </si>
  <si>
    <t>ADM-CFM</t>
  </si>
  <si>
    <t xml:space="preserve">   Admin. Services - Convention Facilities</t>
  </si>
  <si>
    <t>Chanda Ikeda</t>
  </si>
  <si>
    <t>(415) 554-6125</t>
  </si>
  <si>
    <t>Devin Macaulay</t>
  </si>
  <si>
    <t>(415) 554-5247</t>
  </si>
  <si>
    <t>ADM-CME</t>
  </si>
  <si>
    <t xml:space="preserve">   Admin. Services - Medical Examiner</t>
  </si>
  <si>
    <t>Jessica Kinard</t>
  </si>
  <si>
    <t>(415) 554-6486</t>
  </si>
  <si>
    <t>Drew Murrell</t>
  </si>
  <si>
    <t>(415) 554-7647</t>
  </si>
  <si>
    <t>ADM-OCA</t>
  </si>
  <si>
    <t xml:space="preserve">   Admin. Services - Office of Contract Admin.</t>
  </si>
  <si>
    <t>Lily Liang</t>
  </si>
  <si>
    <t>(415) 554-5965</t>
  </si>
  <si>
    <t>(415) 554-6626</t>
  </si>
  <si>
    <t>ADP</t>
  </si>
  <si>
    <t>Adult Probation</t>
  </si>
  <si>
    <t>Carol Lu</t>
  </si>
  <si>
    <t>(415) 554-6485</t>
  </si>
  <si>
    <t>AIR</t>
  </si>
  <si>
    <t>Airport</t>
  </si>
  <si>
    <t>Chris Simi</t>
  </si>
  <si>
    <t>ART</t>
  </si>
  <si>
    <t>Arts Commission</t>
  </si>
  <si>
    <t>Yuri Hardin</t>
  </si>
  <si>
    <t>Emily Volberding</t>
  </si>
  <si>
    <t>(415) 554-7631</t>
  </si>
  <si>
    <t>ASR</t>
  </si>
  <si>
    <t>Assessor/Recorder</t>
  </si>
  <si>
    <t>Melissa Whitehouse</t>
  </si>
  <si>
    <t>(415) 554-6253</t>
  </si>
  <si>
    <t>BOS</t>
  </si>
  <si>
    <t>Board of Supervisors</t>
  </si>
  <si>
    <t>CAT</t>
  </si>
  <si>
    <t>City Attorney</t>
  </si>
  <si>
    <t>CFC</t>
  </si>
  <si>
    <t>Children &amp; Families Commission</t>
  </si>
  <si>
    <t>CHF</t>
  </si>
  <si>
    <t>Children, Youth &amp; Their Families</t>
  </si>
  <si>
    <t>CON</t>
  </si>
  <si>
    <t>Controller</t>
  </si>
  <si>
    <t>CPC</t>
  </si>
  <si>
    <t>City Planning</t>
  </si>
  <si>
    <t>CRT</t>
  </si>
  <si>
    <t>Superior Court</t>
  </si>
  <si>
    <t>CSC</t>
  </si>
  <si>
    <t>Civil Service Commission</t>
  </si>
  <si>
    <t>CSS</t>
  </si>
  <si>
    <t>Child Support Services</t>
  </si>
  <si>
    <t>DAT</t>
  </si>
  <si>
    <t>District Attorney</t>
  </si>
  <si>
    <t>DBI</t>
  </si>
  <si>
    <t>Department of Building Inspection</t>
  </si>
  <si>
    <t>DPH</t>
  </si>
  <si>
    <t>Department of Public Health</t>
  </si>
  <si>
    <t>DPW</t>
  </si>
  <si>
    <t>General Services Agency - Public Works</t>
  </si>
  <si>
    <t>DSS-DSS</t>
  </si>
  <si>
    <t>Human Services Agency</t>
  </si>
  <si>
    <t>DSS-AGE</t>
  </si>
  <si>
    <t>Human Services - Aging and Adult Services</t>
  </si>
  <si>
    <t>ECD</t>
  </si>
  <si>
    <t>Emergency Communications</t>
  </si>
  <si>
    <t>ECN</t>
  </si>
  <si>
    <t>Economic &amp; Workforce Development</t>
  </si>
  <si>
    <t>ENV</t>
  </si>
  <si>
    <t>Environment</t>
  </si>
  <si>
    <t>ETH</t>
  </si>
  <si>
    <t>Ethics Commission</t>
  </si>
  <si>
    <t>FAM</t>
  </si>
  <si>
    <t>Fine Arts Museum</t>
  </si>
  <si>
    <t>FIR</t>
  </si>
  <si>
    <t>Fire Department</t>
  </si>
  <si>
    <t>GEN</t>
  </si>
  <si>
    <t>General City Responsibility</t>
  </si>
  <si>
    <t>HRC</t>
  </si>
  <si>
    <t>Human Rights Commission</t>
  </si>
  <si>
    <t>HRD</t>
  </si>
  <si>
    <t>Human Resources</t>
  </si>
  <si>
    <t>HSS</t>
  </si>
  <si>
    <t>Health Service System</t>
  </si>
  <si>
    <t>JUV</t>
  </si>
  <si>
    <t>Juvenile Probation</t>
  </si>
  <si>
    <t>LIB</t>
  </si>
  <si>
    <t>Public Library</t>
  </si>
  <si>
    <t>LLB</t>
  </si>
  <si>
    <t>Law Library</t>
  </si>
  <si>
    <t>MTA-DPT</t>
  </si>
  <si>
    <t>Municipal Transportation Agency (MTA)</t>
  </si>
  <si>
    <t>MTA-PTC</t>
  </si>
  <si>
    <t>MTA - Parking and Traffic</t>
  </si>
  <si>
    <t>MYR</t>
  </si>
  <si>
    <t>Mayor</t>
  </si>
  <si>
    <t>PAB</t>
  </si>
  <si>
    <t>Board of Appeals</t>
  </si>
  <si>
    <t>PDR</t>
  </si>
  <si>
    <t>Public Defender</t>
  </si>
  <si>
    <t>POL</t>
  </si>
  <si>
    <t>Police Department</t>
  </si>
  <si>
    <t>PRT</t>
  </si>
  <si>
    <t>Port</t>
  </si>
  <si>
    <t>PUC-PUC</t>
  </si>
  <si>
    <t>Public Utilities Commission</t>
  </si>
  <si>
    <t>PUC-CWP</t>
  </si>
  <si>
    <t xml:space="preserve">   PUC - Clean Water</t>
  </si>
  <si>
    <t>PUC-HHP</t>
  </si>
  <si>
    <t xml:space="preserve">   PUC - Hetch Hetchy</t>
  </si>
  <si>
    <t>PUC-WTR</t>
  </si>
  <si>
    <t xml:space="preserve">   PUC - Water</t>
  </si>
  <si>
    <t>REC</t>
  </si>
  <si>
    <t>Recreation &amp; Park</t>
  </si>
  <si>
    <t>REG</t>
  </si>
  <si>
    <t>Elections</t>
  </si>
  <si>
    <t>RET</t>
  </si>
  <si>
    <t>Retirement System</t>
  </si>
  <si>
    <t>RNT</t>
  </si>
  <si>
    <t>Rent Arbitration Board</t>
  </si>
  <si>
    <t>SCI</t>
  </si>
  <si>
    <t>Academy of Sciences</t>
  </si>
  <si>
    <t>SHF</t>
  </si>
  <si>
    <t>Sheriff’s Department</t>
  </si>
  <si>
    <t>TIS</t>
  </si>
  <si>
    <t>General Services Agency - Technology</t>
  </si>
  <si>
    <t>TTX</t>
  </si>
  <si>
    <t>Treasurer / Tax Collector</t>
  </si>
  <si>
    <t>UNA</t>
  </si>
  <si>
    <t>General Fund Unallocated</t>
  </si>
  <si>
    <t>USD</t>
  </si>
  <si>
    <t>County Office of Education</t>
  </si>
  <si>
    <t>WAR</t>
  </si>
  <si>
    <t>War Memorial</t>
  </si>
  <si>
    <t>WOM</t>
  </si>
  <si>
    <t>Department on the Status of Women</t>
  </si>
  <si>
    <t>Reduction Priority:</t>
  </si>
  <si>
    <t>Summary of Potential Reduction and Impacts</t>
  </si>
  <si>
    <t>Rationale for Reduction</t>
  </si>
  <si>
    <t xml:space="preserve">BUDGET FORM 10:  1% Contingency Plan Summary Form </t>
  </si>
  <si>
    <t>Base Units</t>
  </si>
  <si>
    <t>Base Amt</t>
  </si>
  <si>
    <t>Please list equipment already reviewed and approved by the Mayor's Budget Office, the Budget and Legislative Analyst, and the Board of Supervisors</t>
  </si>
  <si>
    <t>Copy and paste from an equipment report the fund, index code, equipment number, title, base units, and base amount</t>
  </si>
  <si>
    <t>FundStr</t>
  </si>
  <si>
    <t>EquipNo</t>
  </si>
  <si>
    <t>Equip Title</t>
  </si>
  <si>
    <t>BUDGET FORM 4C: Equipment approved during last year's budget process</t>
  </si>
  <si>
    <t>All listed FY 2014-15 equipment should have an equipment number</t>
  </si>
  <si>
    <t>For replacement vehicles, please list additional information on the vehicle being replaced</t>
  </si>
  <si>
    <t xml:space="preserve">How will the reduction in revenue affect the department? </t>
  </si>
  <si>
    <t>Budget Form 2D: License, Permit, Fine &amp; Service Charge Elimination Proposals</t>
  </si>
  <si>
    <t>Additional General Fund needed? (Y/N)</t>
  </si>
  <si>
    <t>Benefits of Elimination</t>
  </si>
  <si>
    <t>(415) 554-4861</t>
  </si>
  <si>
    <t>DEPARTMENT: Elections</t>
  </si>
  <si>
    <t>Department of Elections</t>
  </si>
  <si>
    <t>Number of Outreach Events</t>
  </si>
  <si>
    <t>FY 04-05(1)</t>
  </si>
  <si>
    <t>FY05-06(2)</t>
  </si>
  <si>
    <t>FY06-07(1)</t>
  </si>
  <si>
    <t>FY07-08(3)</t>
  </si>
  <si>
    <t>FY08-09(1)</t>
  </si>
  <si>
    <t>FY09-10(2)</t>
  </si>
  <si>
    <t>FY10-11(1)</t>
  </si>
  <si>
    <t>FY11-12(3)</t>
  </si>
  <si>
    <t>FY12-13(1)</t>
  </si>
  <si>
    <t>FY13-14(2)</t>
  </si>
  <si>
    <t>FY14-15(1)</t>
  </si>
  <si>
    <t>FY15-16(2)</t>
  </si>
  <si>
    <t>GRAPH 3</t>
  </si>
  <si>
    <t>Election Mo-Yr</t>
  </si>
  <si>
    <t>Number of Registered Voters</t>
  </si>
  <si>
    <t>Number of Permanent VBM Voters</t>
  </si>
  <si>
    <t>Nov-09</t>
  </si>
  <si>
    <t>Jun-10</t>
  </si>
  <si>
    <t>Nov-10</t>
  </si>
  <si>
    <t xml:space="preserve">Type of Graph (Line, Pie, Bar, etc.): Bar Chart </t>
  </si>
  <si>
    <t xml:space="preserve">Number of Registered Voters </t>
  </si>
  <si>
    <t>The chart shows the upward trend in the number of registered voters who have requested to be permanent vote-by-mail (VBM) voters.</t>
  </si>
  <si>
    <t>The chart shows the number of annual voter outreach events conducted by the Department. Varies based upon number of elections in a fiscal year.</t>
  </si>
  <si>
    <t xml:space="preserve">Number of Voter Outreach Events to Target Communities </t>
  </si>
  <si>
    <t>The chart shows the number of registered voters for each election since March 2004 to present.</t>
  </si>
  <si>
    <t xml:space="preserve">BUDGET FORM 1C: POSITION LEVEL ORGINAZATION CHART </t>
  </si>
  <si>
    <t xml:space="preserve">BUDGET FORM 1C: HIGH LEVEL CHART </t>
  </si>
  <si>
    <t>AAA</t>
  </si>
  <si>
    <t>FCH</t>
  </si>
  <si>
    <t>ELECTIONS</t>
  </si>
  <si>
    <t>001</t>
  </si>
  <si>
    <t>PERMANENT SALARIES-MISC</t>
  </si>
  <si>
    <t>005</t>
  </si>
  <si>
    <t>TEMP SALARIES-MISC</t>
  </si>
  <si>
    <t>009</t>
  </si>
  <si>
    <t>PREMIUM PAY</t>
  </si>
  <si>
    <t>011</t>
  </si>
  <si>
    <t>OVERTIME</t>
  </si>
  <si>
    <t>012</t>
  </si>
  <si>
    <t>HOLIDAY PAY</t>
  </si>
  <si>
    <t>013</t>
  </si>
  <si>
    <t>RETIREMENT</t>
  </si>
  <si>
    <t>014</t>
  </si>
  <si>
    <t>SOCIAL SECURITY</t>
  </si>
  <si>
    <t>015</t>
  </si>
  <si>
    <t>HEALTH SERVICE</t>
  </si>
  <si>
    <t>016</t>
  </si>
  <si>
    <t>DENTAL COVERAGE</t>
  </si>
  <si>
    <t>017</t>
  </si>
  <si>
    <t>UNEMPLOYMENT INSURANCE</t>
  </si>
  <si>
    <t>019</t>
  </si>
  <si>
    <t>OTHER FRINGE BENEFITS</t>
  </si>
  <si>
    <t>021</t>
  </si>
  <si>
    <t>TRAVEL</t>
  </si>
  <si>
    <t>022</t>
  </si>
  <si>
    <t>TRAINING</t>
  </si>
  <si>
    <t>023</t>
  </si>
  <si>
    <t>EMPLOYEE EXPENSES</t>
  </si>
  <si>
    <t>024</t>
  </si>
  <si>
    <t>MEMBERSHIP FEES</t>
  </si>
  <si>
    <t>026</t>
  </si>
  <si>
    <t>COURT FEES AND OTHER COMPENSATION</t>
  </si>
  <si>
    <t>027</t>
  </si>
  <si>
    <t>PROFESSIONAL &amp; SPECIALIZED SERVICES</t>
  </si>
  <si>
    <t>028</t>
  </si>
  <si>
    <t>MAINTENANCE SVCS-BUILDING &amp; STRUCTURES</t>
  </si>
  <si>
    <t>029</t>
  </si>
  <si>
    <t>MAINTENANCE SVCS-EQUIPMENT</t>
  </si>
  <si>
    <t>030</t>
  </si>
  <si>
    <t>RENTS &amp; LEASES-BUILDINGS &amp; STRUCTURES</t>
  </si>
  <si>
    <t>031</t>
  </si>
  <si>
    <t>RENTS &amp; LEASES-EQUIPMENT</t>
  </si>
  <si>
    <t>035</t>
  </si>
  <si>
    <t>OTHER CURRENT EXPENSES</t>
  </si>
  <si>
    <t>052</t>
  </si>
  <si>
    <t>TAXES; LICENSES &amp; PERMITS</t>
  </si>
  <si>
    <t>040</t>
  </si>
  <si>
    <t>042</t>
  </si>
  <si>
    <t>BUILDING &amp; CONSTRUCTION SUPPLIES</t>
  </si>
  <si>
    <t>045</t>
  </si>
  <si>
    <t>SAFETY</t>
  </si>
  <si>
    <t>046</t>
  </si>
  <si>
    <t>FOOD</t>
  </si>
  <si>
    <t>049</t>
  </si>
  <si>
    <t>OTHER MATERIALS &amp; SUPPLIES</t>
  </si>
  <si>
    <t>060</t>
  </si>
  <si>
    <t>EQUIPMENT PURCHASE</t>
  </si>
  <si>
    <t>064</t>
  </si>
  <si>
    <t>EQPT LEASE/PURCH-CITY FIN AGCY-OPT RENEW</t>
  </si>
  <si>
    <t>06P</t>
  </si>
  <si>
    <t>PROGRAMMATIC PROJECTS-BUDGET</t>
  </si>
  <si>
    <t>081</t>
  </si>
  <si>
    <t>081C5</t>
  </si>
  <si>
    <t>IS-TIS-ISD SERVICES</t>
  </si>
  <si>
    <t>081CA</t>
  </si>
  <si>
    <t>GF-ADM-GENERAL(AAO)</t>
  </si>
  <si>
    <t>081CB</t>
  </si>
  <si>
    <t>GF-RISK MANAGEMENT SERVICES (AAO)</t>
  </si>
  <si>
    <t>081CI</t>
  </si>
  <si>
    <t>IS-TIS-ISD SERVICES-INFRASTRUCTURE COST</t>
  </si>
  <si>
    <t>081ET</t>
  </si>
  <si>
    <t>GF-TIS-TELEPHONE(AAO)</t>
  </si>
  <si>
    <t>081FM</t>
  </si>
  <si>
    <t>GF-GSA-FACILITIES MANAGEMENT SERVICES</t>
  </si>
  <si>
    <t>081H4</t>
  </si>
  <si>
    <t>GF-HR-CLIENT SRVS/RECRUIT/ASSESS</t>
  </si>
  <si>
    <t>081M2</t>
  </si>
  <si>
    <t>GF-CHF-YOUTH WORKS</t>
  </si>
  <si>
    <t>081PA</t>
  </si>
  <si>
    <t>IS-PURCH-CENTRAL SHOPS-AUTO MAINT</t>
  </si>
  <si>
    <t>081PE</t>
  </si>
  <si>
    <t>IS-PURCH-VEHICLE LEASING (AAO)</t>
  </si>
  <si>
    <t>081PF</t>
  </si>
  <si>
    <t>IS-PURCH-CENTRAL SHOPS-FUEL STOCK</t>
  </si>
  <si>
    <t>081PK</t>
  </si>
  <si>
    <t>GF-PARKING &amp; TRAFFIC</t>
  </si>
  <si>
    <t>081PM</t>
  </si>
  <si>
    <t>GF-PURCH-MAIL SERVICES</t>
  </si>
  <si>
    <t>081PR</t>
  </si>
  <si>
    <t>IS-PURCH-REPRODUCTION</t>
  </si>
  <si>
    <t>081SH</t>
  </si>
  <si>
    <t>GF-SHERIFF</t>
  </si>
  <si>
    <t>081UL</t>
  </si>
  <si>
    <t>GF-PUC-LIGHT HEAT &amp; POWER</t>
  </si>
  <si>
    <t>081WB</t>
  </si>
  <si>
    <t>SR-DPW-BUILDING REPAIR</t>
  </si>
  <si>
    <t>086</t>
  </si>
  <si>
    <t>086HS</t>
  </si>
  <si>
    <t>EXP REC FR HSS (AAO)</t>
  </si>
  <si>
    <t>086RH</t>
  </si>
  <si>
    <t>EXP REC FR RETIREE HEALTH TRUST BOARD</t>
  </si>
  <si>
    <t>086RS</t>
  </si>
  <si>
    <t>EXP REC FR RETIREMENT SYSTEM (AAO)</t>
  </si>
  <si>
    <t>08799</t>
  </si>
  <si>
    <t>EXP REC-UNALLOCATED (NON-AAO FDS)</t>
  </si>
  <si>
    <t>087SD</t>
  </si>
  <si>
    <t>EXP REC FR COUNTY ED(NON-AAO)</t>
  </si>
  <si>
    <t>086CC</t>
  </si>
  <si>
    <t>EXP REC FR SFCCD (NON-AAO)</t>
  </si>
  <si>
    <t>One Community College Board election scheduled in FY14-15, none in FY15-16.</t>
  </si>
  <si>
    <t>No Retiree Health Trust Board elections scheduled in FY14-15 or FY15-16.</t>
  </si>
  <si>
    <t>One Retirement Board election scheduled in FY14-15 and another in FY15-16.</t>
  </si>
  <si>
    <t>One BART district election scheduled in FY14-15, none in FY15-16.</t>
  </si>
  <si>
    <t>087ED</t>
  </si>
  <si>
    <t>EXP REC FR BUS &amp;ENC DEV (NON-AAO)</t>
  </si>
  <si>
    <t>One Board of Education election scheduled in FY14-15, none in FY15-16.</t>
  </si>
  <si>
    <t>Dominion Voting System</t>
  </si>
  <si>
    <t>DFM</t>
  </si>
  <si>
    <t>Wise Trend</t>
  </si>
  <si>
    <t>Runbeck</t>
  </si>
  <si>
    <t>Xtech</t>
  </si>
  <si>
    <t>One Health Service Board election scheduled in FY14-15, none in FY15-16.</t>
  </si>
  <si>
    <t>No</t>
  </si>
  <si>
    <t>FISCAL YEAR 2015-16</t>
  </si>
  <si>
    <t>Junior Clerk</t>
  </si>
  <si>
    <t>1402</t>
  </si>
  <si>
    <t xml:space="preserve">Chief Clerk </t>
  </si>
  <si>
    <t xml:space="preserve">Junior Management Assistant </t>
  </si>
  <si>
    <t>1410</t>
  </si>
  <si>
    <t>1840</t>
  </si>
  <si>
    <t xml:space="preserve">Assembly of Vote-By-Mail Envelopes </t>
  </si>
  <si>
    <t>1. FY2007-08 was the first year these services were contracted out.</t>
  </si>
  <si>
    <t>Yes</t>
  </si>
  <si>
    <t>Phone: 554-5683</t>
  </si>
  <si>
    <t>Email: nataliya.kuzina@sfgov.org</t>
  </si>
  <si>
    <t xml:space="preserve">Replace </t>
  </si>
  <si>
    <t>Toyota Prius Hybrid</t>
  </si>
  <si>
    <t>220L036</t>
  </si>
  <si>
    <t xml:space="preserve">Ford Contour </t>
  </si>
  <si>
    <t>600</t>
  </si>
  <si>
    <t>601</t>
  </si>
  <si>
    <t>60136</t>
  </si>
  <si>
    <t>COUNTY CANDIDATE FILING FEE</t>
  </si>
  <si>
    <t>60149</t>
  </si>
  <si>
    <t>PAID BALLOT ARGUMENT FEE</t>
  </si>
  <si>
    <t>60199</t>
  </si>
  <si>
    <t>OTHER GENERAL GOVERNMENT CHARGES</t>
  </si>
  <si>
    <t>750</t>
  </si>
  <si>
    <t>789</t>
  </si>
  <si>
    <t>78901</t>
  </si>
  <si>
    <t>OVERAGE(SHORTAGE) CASH RECEIPTS</t>
  </si>
  <si>
    <t>Self Supporting</t>
  </si>
  <si>
    <t>GNC</t>
  </si>
  <si>
    <t>400</t>
  </si>
  <si>
    <t>449</t>
  </si>
  <si>
    <t>44931</t>
  </si>
  <si>
    <t>FEDERAL GRANTS PASS-THROUGH STATE/OTHER</t>
  </si>
  <si>
    <t>CDs Master Voter File/AV File/Voter File/Precinct Districts/GIS File</t>
  </si>
  <si>
    <t>Certificate of Registration</t>
  </si>
  <si>
    <t xml:space="preserve"> $200 plus 
$2 per word </t>
  </si>
  <si>
    <t xml:space="preserve">Fee Status </t>
  </si>
  <si>
    <t>Election Voting Equipment</t>
  </si>
  <si>
    <t>1GAGF</t>
  </si>
  <si>
    <t>license</t>
  </si>
  <si>
    <t>maintenance and license</t>
  </si>
  <si>
    <t>renewal fee</t>
  </si>
  <si>
    <t>management system</t>
  </si>
  <si>
    <t xml:space="preserve">Support San Francisco's affordable services efforts. </t>
  </si>
  <si>
    <t>Explanation of increase or reduction and resulting service impact. Please note whether the reduction is on-going or one-time.</t>
  </si>
  <si>
    <t>Performing Department confirmed that the budgeted work order amount accurately reflects the services requested by the Department.</t>
  </si>
  <si>
    <t xml:space="preserve">The estimated contract cost is based on the contractor's estimate for the services anticipated to be performed for the November 2015 election (a five-card ballot election) and the June 2016 election (a four-card ballot election). Estimated contract cost for FY 2015-16 was provided by the vendor in January 2014. </t>
  </si>
  <si>
    <t xml:space="preserve">FY2014-15: Decrease due to one scheduled election. </t>
  </si>
  <si>
    <t>Annual maintenace and license fees</t>
  </si>
  <si>
    <t xml:space="preserve">FY2015-16: Increase due to two scheduled elections. </t>
  </si>
  <si>
    <t>Cooler Email</t>
  </si>
  <si>
    <t xml:space="preserve">Adobe Premiere Elements </t>
  </si>
  <si>
    <t xml:space="preserve">Adobe Illustrator CS6 </t>
  </si>
  <si>
    <t xml:space="preserve">Adobe InDesign CS6 </t>
  </si>
  <si>
    <t>maintenance and support</t>
  </si>
  <si>
    <t xml:space="preserve">Agilis Ballot Counting Machine </t>
  </si>
  <si>
    <t>Election Information Management System</t>
  </si>
  <si>
    <t xml:space="preserve">Scanner for Roster signatures </t>
  </si>
  <si>
    <t>Ballot Card Counter</t>
  </si>
  <si>
    <t xml:space="preserve">New </t>
  </si>
  <si>
    <t>X</t>
  </si>
  <si>
    <t xml:space="preserve">FY2014-15: Decrease due to one election. FY2015-16: Increase due to two elections.  </t>
  </si>
  <si>
    <t>Electric Utility Cart</t>
  </si>
  <si>
    <t xml:space="preserve">Vehicle </t>
  </si>
  <si>
    <t xml:space="preserve">Equipment </t>
  </si>
  <si>
    <t xml:space="preserve">Ballot Extractor </t>
  </si>
  <si>
    <t>Marginal revenue</t>
  </si>
  <si>
    <t xml:space="preserve">Staff ability to perform routine assignments such as transporting polling place materials and voting equipment is compromised. </t>
  </si>
  <si>
    <t xml:space="preserve">Expedite the counting of ballots in the post-election Canvass resulting in earlier release of election results. </t>
  </si>
  <si>
    <r>
      <t xml:space="preserve">To </t>
    </r>
    <r>
      <rPr>
        <sz val="10"/>
        <color theme="1"/>
        <rFont val="Arial"/>
        <family val="2"/>
      </rPr>
      <t xml:space="preserve">facilitate the movement of staff and materials at the Warehouse without adding any harmful emissions to the working environment and </t>
    </r>
    <r>
      <rPr>
        <sz val="10"/>
        <color rgb="FF000000"/>
        <rFont val="Arial"/>
        <family val="2"/>
      </rPr>
      <t>as reasonable accommodations required by ADA law to facilitate a number of staff with disabilities</t>
    </r>
  </si>
  <si>
    <t>To expedite the processing of vote-by-mail ballots. Current Vote-By-Mail base is 228,533</t>
  </si>
  <si>
    <t xml:space="preserve">Performing Department is non-responsive to request to confirm the budgeted work order amount. </t>
  </si>
  <si>
    <t xml:space="preserve">Estimate based on previous charges for similar elections. Awaiting official estimates. </t>
  </si>
  <si>
    <t>No Community Benefit District elections scheduled in FY14-15 or FY15-16. .</t>
  </si>
  <si>
    <t xml:space="preserve">Repayment of existing lease purchase debt- Agilis equipment. Controller's office will enter into the budget system. </t>
  </si>
  <si>
    <t>CANDIDATE FILING FEE - SCHOOL BOARD</t>
  </si>
  <si>
    <t>CANDIDATE FILING FEE - COMMUNITY COLLEGE BOARD</t>
  </si>
  <si>
    <t>BOARD OF SUPERVISOR #  1</t>
  </si>
  <si>
    <t>BOARD OF SUPERVISOR #  2</t>
  </si>
  <si>
    <t>BOARD OF SUPERVISOR # 3</t>
  </si>
  <si>
    <t>BOARD OF SUPERVISOR # 4</t>
  </si>
  <si>
    <t>BOARD OF SUPERVISOR #  5</t>
  </si>
  <si>
    <t>BOARD OF SUPERVISOR #  6</t>
  </si>
  <si>
    <t>BOARD OF SUPERVISOR #  7</t>
  </si>
  <si>
    <t>BOARD OF SUPERVISOR #  8</t>
  </si>
  <si>
    <t>BOARD OF SUPERVISOR #  9</t>
  </si>
  <si>
    <t>BOARD OF SUPERVISOR #  10</t>
  </si>
  <si>
    <t>BOARD OF SUPERVISOR #  11</t>
  </si>
  <si>
    <t>MAYOR</t>
  </si>
  <si>
    <t>DISTRICT ATTORNEY</t>
  </si>
  <si>
    <t>SHERIFF</t>
  </si>
  <si>
    <t>CITY ATTORNEY</t>
  </si>
  <si>
    <t>TREASURER</t>
  </si>
  <si>
    <t>ASSESSOR-RECORDER</t>
  </si>
  <si>
    <t>PUBLIC DEFENDER</t>
  </si>
  <si>
    <t xml:space="preserve">SUPERIOR COURT JUDGES </t>
  </si>
  <si>
    <t>SUPERIOR COURT JUDGES CANDIDATE STATEMENT</t>
  </si>
  <si>
    <t>STATE ASSEMBLY 17 CANDIDATE STATEMENT</t>
  </si>
  <si>
    <t>STATE ASSEMBLY 19 CANDIDATE STATEMENT</t>
  </si>
  <si>
    <t>STATE SENATE 11 CANDIDATE STATEMENT</t>
  </si>
  <si>
    <t>CONGRESSIONAL 12 CANDIDATE STATEMENT</t>
  </si>
  <si>
    <t>CONGRESSIONAL 14 CANDIDATE STATEMENT</t>
  </si>
  <si>
    <t>PAID BALLOT ARGUMENTS</t>
  </si>
  <si>
    <t>ORDINANCE SUBMISSION</t>
  </si>
  <si>
    <t>CHARTER AMENDMENT SUBMISSION</t>
  </si>
  <si>
    <t>DECLARATION OF POLICY SUBMISSION</t>
  </si>
  <si>
    <t>Maps - CCSF Supervisorial districts/precincts</t>
  </si>
  <si>
    <t>Document copies</t>
  </si>
  <si>
    <t>per candidate</t>
  </si>
  <si>
    <t>per statement</t>
  </si>
  <si>
    <t>per argument</t>
  </si>
  <si>
    <t>per measure</t>
  </si>
  <si>
    <t>per file</t>
  </si>
  <si>
    <t>per certificate</t>
  </si>
  <si>
    <t>per map</t>
  </si>
  <si>
    <t>per copy</t>
  </si>
  <si>
    <t>RG001</t>
  </si>
  <si>
    <t>1GAGFAAA</t>
  </si>
  <si>
    <t>1092_C</t>
  </si>
  <si>
    <t>1471_C</t>
  </si>
  <si>
    <t>1840_C</t>
  </si>
  <si>
    <t>9991M_Z</t>
  </si>
  <si>
    <t>IT Operations Support Administrator II</t>
  </si>
  <si>
    <t>Elections Worker</t>
  </si>
  <si>
    <t>Junior Management Assistant</t>
  </si>
  <si>
    <t>One Day Adjustment - Misc</t>
  </si>
  <si>
    <t>FY2014-15 and FY2015-16: It is unknown whether grant funds will be available.</t>
  </si>
  <si>
    <t>The Department proposes to substitute 2.75 FTEs in class 1471 with 1FTE in class 1092 and 1FTE in class 1840 to meet its organizational needs</t>
  </si>
  <si>
    <t xml:space="preserve">FY2014-15: No proposed technology projects. </t>
  </si>
  <si>
    <t>043</t>
  </si>
  <si>
    <t>EQUIPMENT MAINTENANCE SUPPLIES</t>
  </si>
  <si>
    <t xml:space="preserve">FY2014-15: Increase to support an estimated increase in the number of ballot cards to be processed. FY2015-16: Increase due to two scheduled elections compared to one election in FY2014-15. </t>
  </si>
  <si>
    <t>FY2014-15: Increase in temporary salaries to support an estimated increase in the number of ballot cards to be processed (Department anticipates a five-card ballot in the November 2014 General Election). FY2015-16: Increase due to two scheduled elections compared to one election in FY2014-15.</t>
  </si>
  <si>
    <t>FY2014-15: Increase in premium pay to support bilingual services and assistance the Department is required to provide under federal, state and local laws. FY2015-16: Increase due to two scheduled elections compared to one election in FY2014-15.</t>
  </si>
  <si>
    <t xml:space="preserve">FY2014-15: Increase to replace two vehicles and purchase equipment to expedite processing of ballots (two ballot extraction machines, to expedite the processing of vote-by-mail ballots; and one sheet-counting machine, to expedite the counting of ballots in the post-election Canvass). </t>
  </si>
  <si>
    <t xml:space="preserve">Nov 2013 election: Decrease in voter registration due to the purging of voter rolls after the November 2012 Presidential Election as mandated by the California Elections Code. </t>
  </si>
  <si>
    <t>CERTIFICATES OF REGISTRATION - propose to eliminate fee beginning FY2014-15</t>
  </si>
  <si>
    <t>FY2014-15: The Department proposes substitute 2.75 FTES in class 1471 ($166,309) with 1FTE in class 1092 ($69,654) and 1FTE in class 1840 ($68,432). This substitution would result in $28,223 savings in permanent salaries. Increase due to the Department's plan to fill all the approved permanent positions  to ensure proper usage of temporary exempt employees.</t>
  </si>
  <si>
    <t xml:space="preserve">Grand Total: </t>
  </si>
  <si>
    <r>
      <t xml:space="preserve">FY 2013-14 Budget Amount </t>
    </r>
    <r>
      <rPr>
        <i/>
        <sz val="11"/>
        <rFont val="Arial"/>
        <family val="2"/>
      </rPr>
      <t>(two elections conducted)</t>
    </r>
  </si>
  <si>
    <r>
      <t xml:space="preserve">FY 2014-15 Proposed Amount </t>
    </r>
    <r>
      <rPr>
        <i/>
        <sz val="11"/>
        <rFont val="Arial"/>
        <family val="2"/>
      </rPr>
      <t>(one election scheduled)</t>
    </r>
  </si>
  <si>
    <r>
      <t xml:space="preserve">FY 2015-16 Proposed Amount </t>
    </r>
    <r>
      <rPr>
        <i/>
        <sz val="11"/>
        <rFont val="Arial"/>
        <family val="2"/>
      </rPr>
      <t>(two elections scheduled)</t>
    </r>
  </si>
  <si>
    <t xml:space="preserve">FY 2013-14 Orig Budget </t>
  </si>
  <si>
    <t xml:space="preserve">FY2014-15: Increase to support additional opportunities for staff to attend workshops, training seminars and "best practices" workshops. </t>
  </si>
  <si>
    <t xml:space="preserve">FY2014-15: Increase to expand staff education in areas of election laws and procedures, forklift certification, classes for new IT applications. </t>
  </si>
  <si>
    <t xml:space="preserve">FY2014-15: Increase to support additional reimbursable field expense in the performance of assigned duties and during work-related travel. </t>
  </si>
  <si>
    <t xml:space="preserve">FY2014-15: Increase to support increased membership fees in the California Association of Clerks and Election Officials (CACEO).   </t>
  </si>
  <si>
    <t xml:space="preserve">FY2014-15: Increase to support an estimated increase in fees for SFMTA annual parking pass and associated permit application fees. </t>
  </si>
  <si>
    <t xml:space="preserve">FY2014-15: VIP postage was previously projected in Obj 35. It was removed from Obj 35 and added to Obj 27 as per GSA guidance. Additional increase in ballot assembly and mailing costs due to estimated increase in the number of ballot cards.   </t>
  </si>
  <si>
    <t xml:space="preserve">FY2014-15: Increase reflects the projected need for destruction of election materials under the legal retention timelines. </t>
  </si>
  <si>
    <t xml:space="preserve">FY2014-15: Increase reflects the need for additional maintenance of the aging ballot processing equipment. </t>
  </si>
  <si>
    <t xml:space="preserve">FY2014-15: Reduction due to revised projections for vehicles used on Election Day by Deputy Sheriffs and other support personnel.  </t>
  </si>
  <si>
    <t xml:space="preserve">FY2014-15: VIP postage was previously projected in Obj 35. It was removed from Obj 35 and added to Obj 27 as per GSA guidance. Additional reduction due to revised postage needed to support Department's mailings (VBM ballots, change of polling place cards) driven by the current number of registered voters.   </t>
  </si>
  <si>
    <t xml:space="preserve">FY2014-15: Reduction due to revised annual USPS permits' fees. </t>
  </si>
  <si>
    <t xml:space="preserve">FY2014-15: Increase reflects the need to replenish hardware supplies based on current inventory. </t>
  </si>
  <si>
    <t xml:space="preserve">FY2014-15: Increase to secure stock of phone headsets and chargers used by Election Day field support personnel. </t>
  </si>
  <si>
    <t xml:space="preserve">FY2014-15: Increase to support additional purchases of uniforms for Warehouse personnel. </t>
  </si>
  <si>
    <t xml:space="preserve">FY2014-15: Increase to support estimated increase in cost of refreshments for the members of the Ballot Simplification Committee, and attendees of the Poll Worker Network and CBOs Network meetings. </t>
  </si>
  <si>
    <t xml:space="preserve">FY2014-15: Increase reflects the need to replenish precinct supplies based on current inventory. </t>
  </si>
  <si>
    <t>067</t>
  </si>
  <si>
    <t>REG- WAREHOUSE MOVE</t>
  </si>
  <si>
    <t xml:space="preserve">FY2014-15: Placed on Budget and Finance Committee Reserve pending determination of the actual costs to relocate the Department's Warehouse. </t>
  </si>
  <si>
    <t xml:space="preserve">FY2014-15: Increase due to revised classroom rental fees. $500,000 placed on Budget and Finance Committee reserve pending approval of a new lease in case of Warehouse relocation.   </t>
  </si>
  <si>
    <t xml:space="preserve">Total Expenditures:  </t>
  </si>
  <si>
    <t xml:space="preserve">Total Work Orders and Revenues: </t>
  </si>
  <si>
    <t xml:space="preserve">In accordance with California Elections Code Section 12241, the consolidation of polling places is only allowed for municipal elections, thus the Department will return to a full allotment of voting precincts for the June 7 election. </t>
  </si>
  <si>
    <t xml:space="preserve">The FY 2014-15 proposed budget of $13,474,885 is $3,051,260 or 18.46% lower than the FY 2013-14 budget of $16,526,145. A significant portion of this decrease is due to there being one scheduled election in FY 2014-15 compared to the two elections in FY 2013-14. The one scheduled election in FY 2014-15 is the November 4, Consolidated General Election. Because the November 4 election is anticipated to result in higher voter turnout and there are anticipated to be more candidates and propositions on the ballot, the FY 2014-15 proposed budget includes a relatively higher level of temporary salaries, overtime, professional services, printing, postage and work order expenses than an average consolidated general election would require. The FY 2014-15 proposed budget of $13,474,885 is $857,373 or 6.8 % higher than the FY 2014-15 base budget largely due to: 
• Increases in salary and fringe benefits due to the Department’s plan to fill all permanent positions rather than retain year-round employees in temporary positions; 
• Increases in temporary salaries and professional services contracts costs to support an estimated increase in the number of ballot cards in the November 4 election; 
• Proposal to replace two Department’s vehicles used by employees in the performance of assigned duties and during work-related travel; purchase equipment to expedite processing of ballots (two ballot extraction machines, to expedite the processing of vote-by-mail ballots; and one sheet-counting machine, to expedite the counting of ballots in the post-election Canvass); purchase one electric utility cart to facilitate the movement of staff and materials at the Warehouse. 
The FY 2015-16 proposed budget of $18,569,053 is $5,094,168 or 37.8% higher than the Department’s FY 2014-15 base budget of $13,474,885. A significant portion of this increase is due to there being two scheduled elections in FY 2015-16 – the November 3, 2015 Municipal Election and the June 7, 2016 Presidential Primary Election –  compared to the one election in FY 2014-15. For the November 3 election, the Department will consolidate polling places to achieve savings in poll worker stipends and polling place fees, costs for Parking and Traffic to retrieve ballots, Sheriff’s security costs and some nonpersonnel expenses (e.g., vehicle rentals, supplies). </t>
  </si>
  <si>
    <t xml:space="preserve">The Department's non-General Fund estimated revenues of $770,000 in FY 2014-15 are $600,000 or 352.9% more than FY 2013-14 estimated non-General Fund revenues of $170,000. Increases in revenues are from the Health Service System and the Retirement System for elections scheduled in FY 2014-15. Additionally, elections are scheduled for the Community College, BART and the San Francisco Unified School District in FY 2014-15. The Department's non-General Fund estimated revenues of $55,000 in FY 2015-16 are $715,000 or 92.9% less than FY 2014-15 estimated non-General Fund revenues of $770,000. Reduction in revenues received from the Retirement System and Health Service System because these agencies do not have  elections scheduled in FY 2015-16. Similarly, there are no scheduled Community College, BART or Unified School District elections scheduled in FY 2015-16, which were held in FY 2014-15, reducing the Department’s revenue recoveries. This reduction is partially offset by revenues from the Retirement Board election scheduled in FY 2015-16.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</si>
</sst>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0.0%"/>
    <numFmt numFmtId="167" formatCode="&quot;$&quot;#,##0.00"/>
    <numFmt numFmtId="168" formatCode="_(* #,##0_);_(* \(#,##0\);_(* &quot;-&quot;??_);_(@_)"/>
    <numFmt numFmtId="169" formatCode="_(* #,##0.0_);_(* \(#,##0.0\);_(* &quot;-&quot;?_);_(@_)"/>
    <numFmt numFmtId="170" formatCode="#,##0.0_);\(#,##0.0\)"/>
    <numFmt numFmtId="171" formatCode="#,##0.0000_);\(#,##0.0000\)"/>
    <numFmt numFmtId="172" formatCode="0_);\(0\)"/>
    <numFmt numFmtId="173" formatCode="0.0"/>
    <numFmt numFmtId="174" formatCode="[$-409]mmm\-yy;@"/>
  </numFmts>
  <fonts count="108" x14ac:knownFonts="1">
    <font>
      <sz val="11"/>
      <color theme="1"/>
      <name val="Calibri"/>
      <family val="2"/>
      <scheme val="minor"/>
    </font>
    <font>
      <sz val="11"/>
      <color theme="1"/>
      <name val="Calibri"/>
      <family val="2"/>
      <scheme val="minor"/>
    </font>
    <font>
      <sz val="10"/>
      <name val="Arial"/>
      <family val="2"/>
    </font>
    <font>
      <b/>
      <sz val="14"/>
      <name val="Arial"/>
      <family val="2"/>
    </font>
    <font>
      <b/>
      <sz val="11"/>
      <name val="Arial"/>
      <family val="2"/>
    </font>
    <font>
      <sz val="11"/>
      <name val="Arial"/>
      <family val="2"/>
    </font>
    <font>
      <sz val="14"/>
      <name val="Arial"/>
      <family val="2"/>
    </font>
    <font>
      <b/>
      <sz val="12"/>
      <name val="Arial"/>
      <family val="2"/>
    </font>
    <font>
      <sz val="12"/>
      <name val="Arial"/>
      <family val="2"/>
    </font>
    <font>
      <b/>
      <u/>
      <sz val="11"/>
      <name val="Arial"/>
      <family val="2"/>
    </font>
    <font>
      <sz val="12"/>
      <color theme="1"/>
      <name val="Times New Roman"/>
      <family val="2"/>
    </font>
    <font>
      <sz val="12"/>
      <color indexed="8"/>
      <name val="Times New Roman"/>
      <family val="2"/>
    </font>
    <font>
      <u/>
      <sz val="10"/>
      <color indexed="12"/>
      <name val="Arial"/>
      <family val="2"/>
    </font>
    <font>
      <b/>
      <sz val="10"/>
      <name val="Arial"/>
      <family val="2"/>
    </font>
    <font>
      <b/>
      <sz val="11"/>
      <color indexed="10"/>
      <name val="Arial"/>
      <family val="2"/>
    </font>
    <font>
      <sz val="11"/>
      <color indexed="8"/>
      <name val="Arial"/>
      <family val="2"/>
    </font>
    <font>
      <b/>
      <sz val="16"/>
      <name val="Arial"/>
      <family val="2"/>
    </font>
    <font>
      <sz val="16"/>
      <name val="Arial"/>
      <family val="2"/>
    </font>
    <font>
      <b/>
      <sz val="11"/>
      <color indexed="12"/>
      <name val="Arial"/>
      <family val="2"/>
    </font>
    <font>
      <b/>
      <sz val="10"/>
      <color indexed="12"/>
      <name val="Arial"/>
      <family val="2"/>
    </font>
    <font>
      <b/>
      <sz val="9"/>
      <color indexed="81"/>
      <name val="Tahoma"/>
      <family val="2"/>
    </font>
    <font>
      <sz val="9"/>
      <color indexed="81"/>
      <name val="Tahoma"/>
      <family val="2"/>
    </font>
    <font>
      <sz val="11"/>
      <color indexed="81"/>
      <name val="Calibri"/>
      <family val="2"/>
      <scheme val="minor"/>
    </font>
    <font>
      <b/>
      <sz val="26"/>
      <color indexed="8"/>
      <name val="Arial"/>
      <family val="2"/>
    </font>
    <font>
      <b/>
      <u val="doubleAccounting"/>
      <sz val="28"/>
      <color indexed="8"/>
      <name val="Arial"/>
      <family val="2"/>
    </font>
    <font>
      <sz val="26"/>
      <name val="Arial"/>
      <family val="2"/>
    </font>
    <font>
      <sz val="16"/>
      <color indexed="8"/>
      <name val="Arial"/>
      <family val="2"/>
    </font>
    <font>
      <b/>
      <sz val="11"/>
      <color indexed="8"/>
      <name val="Arial"/>
      <family val="2"/>
    </font>
    <font>
      <u/>
      <sz val="11"/>
      <name val="Arial"/>
      <family val="2"/>
    </font>
    <font>
      <b/>
      <u val="doubleAccounting"/>
      <sz val="11"/>
      <name val="Arial"/>
      <family val="2"/>
    </font>
    <font>
      <b/>
      <sz val="11"/>
      <color rgb="FFFF0000"/>
      <name val="Arial"/>
      <family val="2"/>
    </font>
    <font>
      <sz val="11"/>
      <color rgb="FFFF0000"/>
      <name val="Arial"/>
      <family val="2"/>
    </font>
    <font>
      <u/>
      <sz val="16"/>
      <color indexed="12"/>
      <name val="Arial"/>
      <family val="2"/>
    </font>
    <font>
      <b/>
      <i/>
      <sz val="10"/>
      <name val="Arial"/>
      <family val="2"/>
    </font>
    <font>
      <u/>
      <sz val="10"/>
      <name val="Arial"/>
      <family val="2"/>
    </font>
    <font>
      <u/>
      <sz val="14"/>
      <color indexed="12"/>
      <name val="Arial"/>
      <family val="2"/>
    </font>
    <font>
      <b/>
      <u/>
      <sz val="10"/>
      <color indexed="48"/>
      <name val="Arial"/>
      <family val="2"/>
    </font>
    <font>
      <b/>
      <u/>
      <sz val="10"/>
      <name val="Arial"/>
      <family val="2"/>
    </font>
    <font>
      <sz val="10"/>
      <color indexed="48"/>
      <name val="Arial"/>
      <family val="2"/>
    </font>
    <font>
      <b/>
      <u/>
      <sz val="14"/>
      <name val="Arial"/>
      <family val="2"/>
    </font>
    <font>
      <b/>
      <sz val="10"/>
      <color indexed="8"/>
      <name val="Arial"/>
      <family val="2"/>
    </font>
    <font>
      <i/>
      <sz val="10"/>
      <color indexed="8"/>
      <name val="Arial"/>
      <family val="2"/>
    </font>
    <font>
      <sz val="10"/>
      <color indexed="8"/>
      <name val="Arial"/>
      <family val="2"/>
    </font>
    <font>
      <b/>
      <i/>
      <sz val="10"/>
      <color indexed="8"/>
      <name val="Arial"/>
      <family val="2"/>
    </font>
    <font>
      <sz val="8"/>
      <name val="Arial"/>
      <family val="2"/>
    </font>
    <font>
      <sz val="10"/>
      <color indexed="9"/>
      <name val="Arial"/>
      <family val="2"/>
    </font>
    <font>
      <sz val="8"/>
      <color indexed="8"/>
      <name val="Arial"/>
      <family val="2"/>
    </font>
    <font>
      <u/>
      <sz val="10"/>
      <color indexed="8"/>
      <name val="Arial"/>
      <family val="2"/>
    </font>
    <font>
      <b/>
      <sz val="8"/>
      <color indexed="81"/>
      <name val="Tahoma"/>
      <family val="2"/>
    </font>
    <font>
      <sz val="8"/>
      <color indexed="81"/>
      <name val="Tahoma"/>
      <family val="2"/>
    </font>
    <font>
      <sz val="10"/>
      <color theme="1"/>
      <name val="Arial"/>
      <family val="2"/>
    </font>
    <font>
      <b/>
      <sz val="10"/>
      <color theme="1"/>
      <name val="Arial"/>
      <family val="2"/>
    </font>
    <font>
      <b/>
      <u/>
      <sz val="11"/>
      <color theme="1"/>
      <name val="Arial"/>
      <family val="2"/>
    </font>
    <font>
      <b/>
      <u/>
      <sz val="10"/>
      <color indexed="8"/>
      <name val="Arial"/>
      <family val="2"/>
    </font>
    <font>
      <u/>
      <sz val="8"/>
      <name val="Arial"/>
      <family val="2"/>
    </font>
    <font>
      <b/>
      <sz val="20"/>
      <color indexed="8"/>
      <name val="Arial"/>
      <family val="2"/>
    </font>
    <font>
      <b/>
      <sz val="12"/>
      <color rgb="FFFF0000"/>
      <name val="Arial"/>
      <family val="2"/>
    </font>
    <font>
      <b/>
      <i/>
      <sz val="11"/>
      <name val="Arial"/>
      <family val="2"/>
    </font>
    <font>
      <sz val="10"/>
      <name val="MS Sans Serif"/>
      <family val="2"/>
    </font>
    <font>
      <i/>
      <sz val="11"/>
      <color rgb="FFFF0000"/>
      <name val="Calibri"/>
      <family val="2"/>
      <scheme val="minor"/>
    </font>
    <font>
      <b/>
      <sz val="8"/>
      <name val="Arial"/>
      <family val="2"/>
    </font>
    <font>
      <sz val="8"/>
      <name val="Wingdings"/>
      <charset val="2"/>
    </font>
    <font>
      <sz val="7"/>
      <name val="Arial"/>
      <family val="2"/>
    </font>
    <font>
      <sz val="10"/>
      <name val="Arial"/>
      <family val="2"/>
    </font>
    <font>
      <sz val="12"/>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ahoma"/>
      <family val="2"/>
    </font>
    <font>
      <sz val="9"/>
      <color theme="1"/>
      <name val="Arial"/>
      <family val="2"/>
    </font>
    <font>
      <sz val="11"/>
      <color theme="1"/>
      <name val="Arial"/>
      <family val="2"/>
    </font>
    <font>
      <sz val="10"/>
      <color rgb="FF000000"/>
      <name val="Arial"/>
      <family val="2"/>
    </font>
    <font>
      <i/>
      <sz val="11"/>
      <name val="Arial"/>
      <family val="2"/>
    </font>
  </fonts>
  <fills count="7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BFD2E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ck">
        <color auto="1"/>
      </bottom>
      <diagonal/>
    </border>
    <border>
      <left style="medium">
        <color indexed="64"/>
      </left>
      <right/>
      <top/>
      <bottom/>
      <diagonal/>
    </border>
    <border>
      <left/>
      <right/>
      <top style="medium">
        <color indexed="64"/>
      </top>
      <bottom style="double">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style="medium">
        <color indexed="64"/>
      </top>
      <bottom style="double">
        <color indexed="64"/>
      </bottom>
      <diagonal/>
    </border>
    <border>
      <left/>
      <right style="thick">
        <color auto="1"/>
      </right>
      <top/>
      <bottom/>
      <diagonal/>
    </border>
    <border>
      <left style="thick">
        <color auto="1"/>
      </left>
      <right/>
      <top/>
      <bottom/>
      <diagonal/>
    </border>
    <border>
      <left/>
      <right style="medium">
        <color indexed="64"/>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ck">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608BB4"/>
      </left>
      <right style="medium">
        <color rgb="FF608BB4"/>
      </right>
      <top style="medium">
        <color rgb="FF608BB4"/>
      </top>
      <bottom/>
      <diagonal/>
    </border>
    <border>
      <left style="medium">
        <color rgb="FFCCCCCC"/>
      </left>
      <right style="medium">
        <color rgb="FFCCCCCC"/>
      </right>
      <top style="medium">
        <color rgb="FFCCCCCC"/>
      </top>
      <bottom style="medium">
        <color rgb="FFCCCCCC"/>
      </bottom>
      <diagonal/>
    </border>
    <border>
      <left style="medium">
        <color rgb="FF608BB4"/>
      </left>
      <right/>
      <top style="medium">
        <color rgb="FF608BB4"/>
      </top>
      <bottom/>
      <diagonal/>
    </border>
    <border>
      <left style="medium">
        <color rgb="FFCCCCCC"/>
      </left>
      <right/>
      <top style="medium">
        <color rgb="FFCCCCCC"/>
      </top>
      <bottom style="medium">
        <color rgb="FFCCCCCC"/>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206">
    <xf numFmtId="0" fontId="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 fontId="2" fillId="0" borderId="0" applyFill="0" applyBorder="0" applyAlignment="0" applyProtection="0"/>
    <xf numFmtId="0" fontId="12" fillId="0" borderId="0" applyNumberFormat="0" applyFill="0" applyBorder="0" applyAlignment="0" applyProtection="0">
      <alignment vertical="top"/>
      <protection locked="0"/>
    </xf>
    <xf numFmtId="0" fontId="10" fillId="0" borderId="0"/>
    <xf numFmtId="0" fontId="11" fillId="0" borderId="0"/>
    <xf numFmtId="0" fontId="2" fillId="0" borderId="0" applyNumberFormat="0" applyFill="0" applyBorder="0" applyAlignment="0" applyProtection="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37" fontId="2" fillId="0" borderId="0"/>
    <xf numFmtId="37" fontId="2" fillId="0" borderId="0"/>
    <xf numFmtId="37" fontId="2" fillId="6" borderId="0"/>
    <xf numFmtId="0" fontId="42" fillId="0" borderId="0"/>
    <xf numFmtId="0" fontId="63" fillId="0" borderId="0"/>
    <xf numFmtId="0" fontId="69" fillId="0" borderId="0"/>
    <xf numFmtId="0" fontId="70" fillId="20" borderId="0" applyNumberFormat="0" applyBorder="0" applyAlignment="0" applyProtection="0"/>
    <xf numFmtId="0" fontId="70" fillId="21" borderId="0" applyNumberFormat="0" applyBorder="0" applyAlignment="0" applyProtection="0"/>
    <xf numFmtId="0" fontId="70" fillId="22" borderId="0" applyNumberFormat="0" applyBorder="0" applyAlignment="0" applyProtection="0"/>
    <xf numFmtId="0" fontId="70" fillId="23" borderId="0" applyNumberFormat="0" applyBorder="0" applyAlignment="0" applyProtection="0"/>
    <xf numFmtId="0" fontId="70" fillId="24" borderId="0" applyNumberFormat="0" applyBorder="0" applyAlignment="0" applyProtection="0"/>
    <xf numFmtId="0" fontId="70" fillId="25" borderId="0" applyNumberFormat="0" applyBorder="0" applyAlignment="0" applyProtection="0"/>
    <xf numFmtId="0" fontId="70" fillId="26" borderId="0" applyNumberFormat="0" applyBorder="0" applyAlignment="0" applyProtection="0"/>
    <xf numFmtId="0" fontId="70" fillId="27" borderId="0" applyNumberFormat="0" applyBorder="0" applyAlignment="0" applyProtection="0"/>
    <xf numFmtId="0" fontId="70" fillId="28" borderId="0" applyNumberFormat="0" applyBorder="0" applyAlignment="0" applyProtection="0"/>
    <xf numFmtId="0" fontId="70" fillId="23" borderId="0" applyNumberFormat="0" applyBorder="0" applyAlignment="0" applyProtection="0"/>
    <xf numFmtId="0" fontId="70" fillId="26" borderId="0" applyNumberFormat="0" applyBorder="0" applyAlignment="0" applyProtection="0"/>
    <xf numFmtId="0" fontId="70" fillId="29" borderId="0" applyNumberFormat="0" applyBorder="0" applyAlignment="0" applyProtection="0"/>
    <xf numFmtId="0" fontId="71" fillId="30" borderId="0" applyNumberFormat="0" applyBorder="0" applyAlignment="0" applyProtection="0"/>
    <xf numFmtId="0" fontId="71" fillId="27" borderId="0" applyNumberFormat="0" applyBorder="0" applyAlignment="0" applyProtection="0"/>
    <xf numFmtId="0" fontId="71" fillId="28" borderId="0" applyNumberFormat="0" applyBorder="0" applyAlignment="0" applyProtection="0"/>
    <xf numFmtId="0" fontId="71"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1" borderId="0" applyNumberFormat="0" applyBorder="0" applyAlignment="0" applyProtection="0"/>
    <xf numFmtId="0" fontId="71" fillId="32" borderId="0" applyNumberFormat="0" applyBorder="0" applyAlignment="0" applyProtection="0"/>
    <xf numFmtId="0" fontId="71" fillId="37" borderId="0" applyNumberFormat="0" applyBorder="0" applyAlignment="0" applyProtection="0"/>
    <xf numFmtId="0" fontId="72" fillId="21" borderId="0" applyNumberFormat="0" applyBorder="0" applyAlignment="0" applyProtection="0"/>
    <xf numFmtId="0" fontId="73" fillId="38" borderId="94" applyNumberFormat="0" applyAlignment="0" applyProtection="0"/>
    <xf numFmtId="0" fontId="74" fillId="39" borderId="9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 fontId="2" fillId="0" borderId="0" applyFill="0" applyBorder="0" applyAlignment="0" applyProtection="0"/>
    <xf numFmtId="0" fontId="75" fillId="0" borderId="0" applyNumberFormat="0" applyFill="0" applyBorder="0" applyAlignment="0" applyProtection="0"/>
    <xf numFmtId="0" fontId="76" fillId="22" borderId="0" applyNumberFormat="0" applyBorder="0" applyAlignment="0" applyProtection="0"/>
    <xf numFmtId="0" fontId="77" fillId="0" borderId="96" applyNumberFormat="0" applyFill="0" applyAlignment="0" applyProtection="0"/>
    <xf numFmtId="0" fontId="78" fillId="0" borderId="97" applyNumberFormat="0" applyFill="0" applyAlignment="0" applyProtection="0"/>
    <xf numFmtId="0" fontId="79" fillId="0" borderId="98" applyNumberFormat="0" applyFill="0" applyAlignment="0" applyProtection="0"/>
    <xf numFmtId="0" fontId="79" fillId="0" borderId="0" applyNumberFormat="0" applyFill="0" applyBorder="0" applyAlignment="0" applyProtection="0"/>
    <xf numFmtId="0" fontId="80" fillId="25" borderId="94" applyNumberFormat="0" applyAlignment="0" applyProtection="0"/>
    <xf numFmtId="0" fontId="81" fillId="0" borderId="99" applyNumberFormat="0" applyFill="0" applyAlignment="0" applyProtection="0"/>
    <xf numFmtId="0" fontId="82" fillId="40" borderId="0" applyNumberFormat="0" applyBorder="0" applyAlignment="0" applyProtection="0"/>
    <xf numFmtId="0" fontId="2" fillId="0" borderId="0"/>
    <xf numFmtId="0" fontId="2" fillId="0" borderId="0" applyNumberFormat="0" applyFill="0" applyBorder="0" applyAlignment="0" applyProtection="0"/>
    <xf numFmtId="0" fontId="2" fillId="41" borderId="100" applyNumberFormat="0" applyFont="0" applyAlignment="0" applyProtection="0"/>
    <xf numFmtId="0" fontId="83" fillId="38" borderId="10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4" fillId="0" borderId="0" applyNumberFormat="0" applyFill="0" applyBorder="0" applyAlignment="0" applyProtection="0"/>
    <xf numFmtId="0" fontId="85" fillId="0" borderId="102" applyNumberFormat="0" applyFill="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103" applyNumberFormat="0" applyFill="0" applyAlignment="0" applyProtection="0"/>
    <xf numFmtId="0" fontId="89" fillId="0" borderId="104" applyNumberFormat="0" applyFill="0" applyAlignment="0" applyProtection="0"/>
    <xf numFmtId="0" fontId="90" fillId="0" borderId="105" applyNumberFormat="0" applyFill="0" applyAlignment="0" applyProtection="0"/>
    <xf numFmtId="0" fontId="90" fillId="0" borderId="0" applyNumberFormat="0" applyFill="0" applyBorder="0" applyAlignment="0" applyProtection="0"/>
    <xf numFmtId="0" fontId="91" fillId="42" borderId="0" applyNumberFormat="0" applyBorder="0" applyAlignment="0" applyProtection="0"/>
    <xf numFmtId="0" fontId="92" fillId="43" borderId="0" applyNumberFormat="0" applyBorder="0" applyAlignment="0" applyProtection="0"/>
    <xf numFmtId="0" fontId="93" fillId="44" borderId="0" applyNumberFormat="0" applyBorder="0" applyAlignment="0" applyProtection="0"/>
    <xf numFmtId="0" fontId="94" fillId="45" borderId="106" applyNumberFormat="0" applyAlignment="0" applyProtection="0"/>
    <xf numFmtId="0" fontId="95" fillId="46" borderId="107" applyNumberFormat="0" applyAlignment="0" applyProtection="0"/>
    <xf numFmtId="0" fontId="96" fillId="46" borderId="106" applyNumberFormat="0" applyAlignment="0" applyProtection="0"/>
    <xf numFmtId="0" fontId="97" fillId="0" borderId="108" applyNumberFormat="0" applyFill="0" applyAlignment="0" applyProtection="0"/>
    <xf numFmtId="0" fontId="98" fillId="47" borderId="109" applyNumberFormat="0" applyAlignment="0" applyProtection="0"/>
    <xf numFmtId="0" fontId="99" fillId="0" borderId="0" applyNumberFormat="0" applyFill="0" applyBorder="0" applyAlignment="0" applyProtection="0"/>
    <xf numFmtId="0" fontId="1" fillId="48" borderId="110" applyNumberFormat="0" applyFont="0" applyAlignment="0" applyProtection="0"/>
    <xf numFmtId="0" fontId="100" fillId="0" borderId="0" applyNumberFormat="0" applyFill="0" applyBorder="0" applyAlignment="0" applyProtection="0"/>
    <xf numFmtId="0" fontId="101" fillId="0" borderId="111" applyNumberFormat="0" applyFill="0" applyAlignment="0" applyProtection="0"/>
    <xf numFmtId="0" fontId="102"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2" fillId="52" borderId="0" applyNumberFormat="0" applyBorder="0" applyAlignment="0" applyProtection="0"/>
    <xf numFmtId="0" fontId="102"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02" fillId="56" borderId="0" applyNumberFormat="0" applyBorder="0" applyAlignment="0" applyProtection="0"/>
    <xf numFmtId="0" fontId="102"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02" fillId="60" borderId="0" applyNumberFormat="0" applyBorder="0" applyAlignment="0" applyProtection="0"/>
    <xf numFmtId="0" fontId="102"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02" fillId="64" borderId="0" applyNumberFormat="0" applyBorder="0" applyAlignment="0" applyProtection="0"/>
    <xf numFmtId="0" fontId="102"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02" fillId="68" borderId="0" applyNumberFormat="0" applyBorder="0" applyAlignment="0" applyProtection="0"/>
    <xf numFmtId="0" fontId="102"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02" fillId="72" borderId="0" applyNumberFormat="0" applyBorder="0" applyAlignment="0" applyProtection="0"/>
    <xf numFmtId="0" fontId="103" fillId="0" borderId="0"/>
    <xf numFmtId="0" fontId="1" fillId="0" borderId="0"/>
    <xf numFmtId="0" fontId="2" fillId="41" borderId="100" applyNumberFormat="0" applyFont="0" applyAlignment="0" applyProtection="0"/>
    <xf numFmtId="0" fontId="2" fillId="0" borderId="0"/>
    <xf numFmtId="0" fontId="12" fillId="0" borderId="0" applyNumberFormat="0" applyFill="0" applyBorder="0" applyAlignment="0" applyProtection="0"/>
    <xf numFmtId="0" fontId="2" fillId="0" borderId="0"/>
    <xf numFmtId="0" fontId="2" fillId="0" borderId="0"/>
    <xf numFmtId="0" fontId="2" fillId="0" borderId="0"/>
    <xf numFmtId="0" fontId="2" fillId="0" borderId="0" applyAlignment="0">
      <alignment vertical="top" wrapText="1"/>
      <protection locked="0"/>
    </xf>
    <xf numFmtId="43" fontId="2" fillId="0" borderId="0" applyFont="0" applyFill="0" applyBorder="0" applyAlignment="0" applyProtection="0"/>
    <xf numFmtId="0" fontId="2" fillId="0" borderId="0"/>
    <xf numFmtId="0" fontId="2" fillId="0" borderId="0"/>
    <xf numFmtId="0" fontId="2" fillId="0" borderId="0"/>
    <xf numFmtId="0" fontId="2" fillId="0" borderId="0" applyAlignment="0">
      <alignment vertical="top" wrapText="1"/>
      <protection locked="0"/>
    </xf>
    <xf numFmtId="0" fontId="2" fillId="0" borderId="0"/>
    <xf numFmtId="0" fontId="2" fillId="0" borderId="0"/>
    <xf numFmtId="0" fontId="2" fillId="41" borderId="100" applyNumberFormat="0" applyFont="0" applyAlignment="0" applyProtection="0"/>
    <xf numFmtId="44" fontId="2" fillId="0" borderId="0" applyFont="0" applyFill="0" applyBorder="0" applyAlignment="0" applyProtection="0"/>
    <xf numFmtId="0" fontId="1" fillId="0" borderId="0"/>
    <xf numFmtId="0" fontId="2" fillId="41" borderId="100" applyNumberFormat="0" applyFont="0" applyAlignment="0" applyProtection="0"/>
    <xf numFmtId="0" fontId="2"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03" fillId="0" borderId="0"/>
    <xf numFmtId="0" fontId="1" fillId="0" borderId="0"/>
    <xf numFmtId="0" fontId="1" fillId="48" borderId="110" applyNumberFormat="0" applyFont="0" applyAlignment="0" applyProtection="0"/>
    <xf numFmtId="0" fontId="1" fillId="0" borderId="0"/>
    <xf numFmtId="0" fontId="103" fillId="0" borderId="0"/>
    <xf numFmtId="0" fontId="2" fillId="0" borderId="0"/>
    <xf numFmtId="0" fontId="2" fillId="0" borderId="0"/>
    <xf numFmtId="0" fontId="2" fillId="0" borderId="0"/>
    <xf numFmtId="0" fontId="2" fillId="0" borderId="0"/>
    <xf numFmtId="0" fontId="2" fillId="0" borderId="0" applyAlignment="0">
      <alignment vertical="top" wrapText="1"/>
      <protection locked="0"/>
    </xf>
    <xf numFmtId="0" fontId="2" fillId="0" borderId="0"/>
    <xf numFmtId="0" fontId="2" fillId="0" borderId="0"/>
    <xf numFmtId="0" fontId="1" fillId="0" borderId="0"/>
    <xf numFmtId="0" fontId="1" fillId="48" borderId="110" applyNumberFormat="0" applyFont="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2" fillId="0" borderId="0"/>
    <xf numFmtId="0" fontId="2" fillId="0" borderId="0"/>
    <xf numFmtId="0" fontId="2" fillId="0" borderId="0" applyAlignment="0">
      <alignment vertical="top" wrapText="1"/>
      <protection locked="0"/>
    </xf>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48" borderId="110" applyNumberFormat="0" applyFont="0" applyAlignment="0" applyProtection="0"/>
    <xf numFmtId="0" fontId="1" fillId="0" borderId="0"/>
    <xf numFmtId="0" fontId="1" fillId="0" borderId="0"/>
    <xf numFmtId="0" fontId="2" fillId="0" borderId="0"/>
    <xf numFmtId="0" fontId="2" fillId="0" borderId="0"/>
    <xf numFmtId="0" fontId="103" fillId="0" borderId="0"/>
    <xf numFmtId="0" fontId="1" fillId="0" borderId="0"/>
    <xf numFmtId="0" fontId="2" fillId="0" borderId="0"/>
    <xf numFmtId="44" fontId="1" fillId="0" borderId="0" applyFont="0" applyFill="0" applyBorder="0" applyAlignment="0" applyProtection="0"/>
    <xf numFmtId="0" fontId="2" fillId="0" borderId="0"/>
    <xf numFmtId="0" fontId="2" fillId="0" borderId="0"/>
    <xf numFmtId="0" fontId="2" fillId="0" borderId="0"/>
  </cellStyleXfs>
  <cellXfs count="1208">
    <xf numFmtId="0" fontId="0" fillId="0" borderId="0" xfId="0"/>
    <xf numFmtId="0" fontId="3" fillId="2" borderId="0" xfId="1" applyFont="1" applyFill="1" applyAlignment="1">
      <alignment horizontal="left" vertical="center"/>
    </xf>
    <xf numFmtId="0" fontId="4" fillId="2" borderId="0" xfId="1" applyFont="1" applyFill="1" applyAlignment="1">
      <alignment horizontal="left" vertical="center"/>
    </xf>
    <xf numFmtId="0" fontId="5" fillId="2" borderId="0" xfId="1" applyFont="1" applyFill="1"/>
    <xf numFmtId="43" fontId="5" fillId="2" borderId="0" xfId="2" applyFont="1" applyFill="1"/>
    <xf numFmtId="0" fontId="5" fillId="2" borderId="0" xfId="1" applyFont="1" applyFill="1" applyAlignment="1">
      <alignment wrapText="1"/>
    </xf>
    <xf numFmtId="0" fontId="6" fillId="2" borderId="0" xfId="1" applyFont="1" applyFill="1" applyAlignment="1">
      <alignment horizontal="left" vertical="center"/>
    </xf>
    <xf numFmtId="0" fontId="5" fillId="2" borderId="0" xfId="1" applyFont="1" applyFill="1" applyAlignment="1">
      <alignment horizontal="left" vertical="center"/>
    </xf>
    <xf numFmtId="0" fontId="7" fillId="3" borderId="1" xfId="1" applyFont="1" applyFill="1" applyBorder="1"/>
    <xf numFmtId="0" fontId="7" fillId="3" borderId="2" xfId="1" applyFont="1" applyFill="1" applyBorder="1"/>
    <xf numFmtId="0" fontId="7" fillId="3" borderId="3" xfId="1" applyFont="1" applyFill="1" applyBorder="1"/>
    <xf numFmtId="0" fontId="8" fillId="2" borderId="0" xfId="1" applyFont="1" applyFill="1"/>
    <xf numFmtId="43" fontId="8" fillId="2" borderId="0" xfId="2" applyFont="1" applyFill="1"/>
    <xf numFmtId="0" fontId="8" fillId="2" borderId="0" xfId="1" applyFont="1" applyFill="1" applyAlignment="1">
      <alignment wrapText="1"/>
    </xf>
    <xf numFmtId="0" fontId="4" fillId="4" borderId="4" xfId="1" applyFont="1" applyFill="1" applyBorder="1" applyAlignment="1">
      <alignment horizontal="center" vertical="center" wrapText="1"/>
    </xf>
    <xf numFmtId="43" fontId="4" fillId="4" borderId="5" xfId="2" applyFont="1" applyFill="1" applyBorder="1" applyAlignment="1">
      <alignment horizontal="center" vertical="center" wrapText="1"/>
    </xf>
    <xf numFmtId="0" fontId="4" fillId="5" borderId="6"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2" borderId="0" xfId="1" applyFont="1" applyFill="1" applyAlignment="1">
      <alignment horizontal="center" vertical="center" wrapText="1"/>
    </xf>
    <xf numFmtId="0" fontId="5" fillId="2" borderId="4" xfId="1" applyFont="1" applyFill="1" applyBorder="1"/>
    <xf numFmtId="43" fontId="5" fillId="2" borderId="5" xfId="2" applyFont="1" applyFill="1" applyBorder="1"/>
    <xf numFmtId="0" fontId="5" fillId="2" borderId="9" xfId="1" applyFont="1" applyFill="1" applyBorder="1"/>
    <xf numFmtId="0" fontId="5" fillId="2" borderId="10" xfId="1" applyFont="1" applyFill="1" applyBorder="1"/>
    <xf numFmtId="0" fontId="5" fillId="2" borderId="9" xfId="1" applyFont="1" applyFill="1" applyBorder="1" applyAlignment="1">
      <alignment wrapText="1"/>
    </xf>
    <xf numFmtId="0" fontId="5" fillId="2" borderId="11" xfId="1" applyFont="1" applyFill="1" applyBorder="1" applyAlignment="1">
      <alignment wrapText="1"/>
    </xf>
    <xf numFmtId="0" fontId="5" fillId="2" borderId="8" xfId="1" applyFont="1" applyFill="1" applyBorder="1" applyAlignment="1">
      <alignment wrapText="1"/>
    </xf>
    <xf numFmtId="0" fontId="5" fillId="2" borderId="12" xfId="1" applyFont="1" applyFill="1" applyBorder="1"/>
    <xf numFmtId="0" fontId="5" fillId="2" borderId="13" xfId="1" applyFont="1" applyFill="1" applyBorder="1"/>
    <xf numFmtId="0" fontId="5" fillId="2" borderId="12" xfId="1" applyFont="1" applyFill="1" applyBorder="1" applyAlignment="1">
      <alignment wrapText="1"/>
    </xf>
    <xf numFmtId="0" fontId="8" fillId="3" borderId="2" xfId="1" applyFont="1" applyFill="1" applyBorder="1"/>
    <xf numFmtId="0" fontId="8" fillId="3" borderId="3" xfId="1" applyFont="1" applyFill="1" applyBorder="1"/>
    <xf numFmtId="0" fontId="5" fillId="2" borderId="8" xfId="1" applyFont="1" applyFill="1" applyBorder="1"/>
    <xf numFmtId="0" fontId="9" fillId="6" borderId="0" xfId="1" applyFont="1" applyFill="1"/>
    <xf numFmtId="0" fontId="3" fillId="6" borderId="0" xfId="1" applyFont="1" applyFill="1" applyAlignment="1">
      <alignment horizontal="left" vertical="center"/>
    </xf>
    <xf numFmtId="0" fontId="13" fillId="6" borderId="0" xfId="1" applyFont="1" applyFill="1" applyAlignment="1">
      <alignment horizontal="left" vertical="center"/>
    </xf>
    <xf numFmtId="0" fontId="2" fillId="0" borderId="0" xfId="1"/>
    <xf numFmtId="0" fontId="8" fillId="6" borderId="0" xfId="1" applyFont="1" applyFill="1" applyAlignment="1">
      <alignment horizontal="left" vertical="center"/>
    </xf>
    <xf numFmtId="0" fontId="2" fillId="6" borderId="0" xfId="1" applyFont="1" applyFill="1" applyAlignment="1">
      <alignment horizontal="left" vertical="center"/>
    </xf>
    <xf numFmtId="0" fontId="13" fillId="6" borderId="0" xfId="1" applyFont="1" applyFill="1"/>
    <xf numFmtId="0" fontId="13" fillId="6" borderId="0" xfId="1" quotePrefix="1" applyFont="1" applyFill="1" applyAlignment="1">
      <alignment horizontal="left"/>
    </xf>
    <xf numFmtId="0" fontId="2" fillId="6" borderId="4" xfId="1" quotePrefix="1" applyFont="1" applyFill="1" applyBorder="1" applyAlignment="1">
      <alignment horizontal="left"/>
    </xf>
    <xf numFmtId="0" fontId="2" fillId="6" borderId="4" xfId="1" applyFont="1" applyFill="1" applyBorder="1" applyAlignment="1">
      <alignment wrapText="1"/>
    </xf>
    <xf numFmtId="0" fontId="2" fillId="6" borderId="4" xfId="1" quotePrefix="1" applyFont="1" applyFill="1" applyBorder="1" applyAlignment="1">
      <alignment horizontal="left" wrapText="1"/>
    </xf>
    <xf numFmtId="0" fontId="2" fillId="6" borderId="4" xfId="1" applyFont="1" applyFill="1" applyBorder="1"/>
    <xf numFmtId="0" fontId="2" fillId="6" borderId="4" xfId="1" applyFont="1" applyFill="1" applyBorder="1" applyAlignment="1">
      <alignment horizontal="center"/>
    </xf>
    <xf numFmtId="0" fontId="3" fillId="2" borderId="0" xfId="1" applyFont="1" applyFill="1"/>
    <xf numFmtId="0" fontId="4" fillId="2" borderId="0" xfId="1" applyFont="1" applyFill="1"/>
    <xf numFmtId="0" fontId="5" fillId="2" borderId="0" xfId="1" applyFont="1" applyFill="1" applyBorder="1" applyAlignment="1"/>
    <xf numFmtId="0" fontId="9" fillId="2" borderId="0" xfId="1" applyFont="1" applyFill="1"/>
    <xf numFmtId="0" fontId="5" fillId="2" borderId="0" xfId="1" applyFont="1" applyFill="1" applyBorder="1" applyAlignment="1">
      <alignment horizontal="left"/>
    </xf>
    <xf numFmtId="0" fontId="4" fillId="2" borderId="0" xfId="1" applyFont="1" applyFill="1" applyBorder="1" applyAlignment="1">
      <alignment horizontal="left"/>
    </xf>
    <xf numFmtId="164" fontId="5" fillId="2" borderId="0" xfId="8" applyNumberFormat="1" applyFont="1" applyFill="1"/>
    <xf numFmtId="0" fontId="5" fillId="2" borderId="0" xfId="1" applyFont="1" applyFill="1" applyBorder="1" applyAlignment="1">
      <alignment horizontal="left" indent="1"/>
    </xf>
    <xf numFmtId="0" fontId="5" fillId="2" borderId="0" xfId="1" applyFont="1" applyFill="1" applyBorder="1"/>
    <xf numFmtId="0" fontId="2" fillId="2" borderId="0" xfId="1" applyFont="1" applyFill="1"/>
    <xf numFmtId="0" fontId="2" fillId="2" borderId="0" xfId="1" applyFont="1" applyFill="1" applyAlignment="1">
      <alignment horizontal="center" wrapText="1"/>
    </xf>
    <xf numFmtId="49" fontId="15" fillId="2" borderId="9" xfId="1" applyNumberFormat="1" applyFont="1" applyFill="1" applyBorder="1" applyAlignment="1">
      <alignment vertical="top"/>
    </xf>
    <xf numFmtId="49" fontId="15" fillId="2" borderId="4" xfId="1" applyNumberFormat="1" applyFont="1" applyFill="1" applyBorder="1" applyAlignment="1">
      <alignment vertical="top"/>
    </xf>
    <xf numFmtId="165" fontId="15" fillId="2" borderId="4" xfId="1" applyNumberFormat="1" applyFont="1" applyFill="1" applyBorder="1" applyAlignment="1">
      <alignment vertical="top"/>
    </xf>
    <xf numFmtId="165" fontId="15" fillId="2" borderId="5" xfId="1" applyNumberFormat="1" applyFont="1" applyFill="1" applyBorder="1" applyAlignment="1">
      <alignment vertical="top"/>
    </xf>
    <xf numFmtId="165" fontId="15" fillId="2" borderId="10" xfId="1" applyNumberFormat="1" applyFont="1" applyFill="1" applyBorder="1" applyAlignment="1">
      <alignment vertical="top"/>
    </xf>
    <xf numFmtId="49" fontId="15" fillId="2" borderId="12" xfId="1" applyNumberFormat="1" applyFont="1" applyFill="1" applyBorder="1" applyAlignment="1">
      <alignment vertical="top"/>
    </xf>
    <xf numFmtId="49" fontId="15" fillId="2" borderId="15" xfId="1" applyNumberFormat="1" applyFont="1" applyFill="1" applyBorder="1" applyAlignment="1">
      <alignment vertical="top"/>
    </xf>
    <xf numFmtId="165" fontId="15" fillId="2" borderId="15" xfId="1" applyNumberFormat="1" applyFont="1" applyFill="1" applyBorder="1" applyAlignment="1">
      <alignment vertical="top"/>
    </xf>
    <xf numFmtId="165" fontId="15" fillId="2" borderId="13" xfId="1" applyNumberFormat="1" applyFont="1" applyFill="1" applyBorder="1" applyAlignment="1">
      <alignment vertical="top"/>
    </xf>
    <xf numFmtId="0" fontId="16" fillId="2" borderId="0" xfId="1" applyFont="1" applyFill="1"/>
    <xf numFmtId="0" fontId="4" fillId="2" borderId="1" xfId="1" applyFont="1" applyFill="1" applyBorder="1" applyAlignment="1"/>
    <xf numFmtId="0" fontId="4" fillId="2" borderId="2" xfId="1" applyFont="1" applyFill="1" applyBorder="1" applyAlignment="1"/>
    <xf numFmtId="0" fontId="4" fillId="2" borderId="2" xfId="1" applyFont="1" applyFill="1" applyBorder="1" applyAlignment="1">
      <alignment horizontal="left"/>
    </xf>
    <xf numFmtId="0" fontId="4" fillId="2" borderId="22" xfId="1" applyFont="1" applyFill="1" applyBorder="1" applyAlignment="1">
      <alignment horizontal="left"/>
    </xf>
    <xf numFmtId="166" fontId="18" fillId="7" borderId="23" xfId="20" applyNumberFormat="1" applyFont="1" applyFill="1" applyBorder="1" applyAlignment="1">
      <alignment horizontal="center"/>
    </xf>
    <xf numFmtId="0" fontId="4" fillId="8" borderId="1" xfId="1" applyFont="1" applyFill="1" applyBorder="1" applyAlignment="1"/>
    <xf numFmtId="0" fontId="4" fillId="8" borderId="2" xfId="1" applyFont="1" applyFill="1" applyBorder="1" applyAlignment="1"/>
    <xf numFmtId="0" fontId="4" fillId="8" borderId="2" xfId="1" applyFont="1" applyFill="1" applyBorder="1" applyAlignment="1">
      <alignment horizontal="left"/>
    </xf>
    <xf numFmtId="0" fontId="4" fillId="8" borderId="22" xfId="1" applyFont="1" applyFill="1" applyBorder="1" applyAlignment="1">
      <alignment horizontal="left"/>
    </xf>
    <xf numFmtId="166" fontId="18" fillId="8" borderId="23" xfId="20" applyNumberFormat="1" applyFont="1" applyFill="1" applyBorder="1" applyAlignment="1">
      <alignment horizontal="center"/>
    </xf>
    <xf numFmtId="0" fontId="19" fillId="2" borderId="0" xfId="1" applyFont="1" applyFill="1" applyBorder="1" applyAlignment="1">
      <alignment horizontal="left" wrapText="1"/>
    </xf>
    <xf numFmtId="0" fontId="18" fillId="2" borderId="0" xfId="1" applyFont="1" applyFill="1" applyBorder="1" applyAlignment="1">
      <alignment wrapText="1"/>
    </xf>
    <xf numFmtId="0" fontId="7" fillId="2" borderId="0" xfId="1" applyFont="1" applyFill="1" applyBorder="1"/>
    <xf numFmtId="0" fontId="5" fillId="2" borderId="4" xfId="1" applyFont="1" applyFill="1" applyBorder="1" applyAlignment="1">
      <alignment horizontal="center"/>
    </xf>
    <xf numFmtId="0" fontId="5" fillId="2" borderId="4" xfId="1" applyFont="1" applyFill="1" applyBorder="1" applyAlignment="1">
      <alignment wrapText="1"/>
    </xf>
    <xf numFmtId="0" fontId="5" fillId="8" borderId="4" xfId="1" applyFont="1" applyFill="1" applyBorder="1" applyAlignment="1">
      <alignment wrapText="1"/>
    </xf>
    <xf numFmtId="44" fontId="5" fillId="2" borderId="4" xfId="8" applyFont="1" applyFill="1" applyBorder="1"/>
    <xf numFmtId="37" fontId="5" fillId="2" borderId="4" xfId="8" applyNumberFormat="1" applyFont="1" applyFill="1" applyBorder="1"/>
    <xf numFmtId="9" fontId="5" fillId="2" borderId="4" xfId="20" applyFont="1" applyFill="1" applyBorder="1"/>
    <xf numFmtId="9" fontId="5" fillId="2" borderId="4" xfId="1" applyNumberFormat="1" applyFont="1" applyFill="1" applyBorder="1"/>
    <xf numFmtId="0" fontId="5" fillId="8" borderId="4" xfId="1" applyFont="1" applyFill="1" applyBorder="1"/>
    <xf numFmtId="0" fontId="4" fillId="2" borderId="0" xfId="1" applyFont="1" applyFill="1" applyAlignment="1">
      <alignment horizontal="right"/>
    </xf>
    <xf numFmtId="0" fontId="5" fillId="0" borderId="9" xfId="1" applyFont="1" applyFill="1" applyBorder="1"/>
    <xf numFmtId="0" fontId="5" fillId="0" borderId="10" xfId="1" applyFont="1" applyFill="1" applyBorder="1"/>
    <xf numFmtId="0" fontId="5" fillId="0" borderId="12" xfId="1" applyFont="1" applyFill="1" applyBorder="1"/>
    <xf numFmtId="0" fontId="5" fillId="0" borderId="13" xfId="1" applyFont="1" applyFill="1" applyBorder="1"/>
    <xf numFmtId="0" fontId="5" fillId="4"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0" borderId="0" xfId="1" applyFont="1" applyFill="1" applyBorder="1" applyAlignment="1">
      <alignment horizontal="center"/>
    </xf>
    <xf numFmtId="0" fontId="5" fillId="0" borderId="0" xfId="1" applyFont="1" applyFill="1" applyBorder="1" applyAlignment="1">
      <alignment wrapText="1"/>
    </xf>
    <xf numFmtId="0" fontId="5" fillId="0" borderId="0" xfId="1" applyFont="1" applyFill="1" applyBorder="1"/>
    <xf numFmtId="44" fontId="5" fillId="0" borderId="0" xfId="8" applyFont="1" applyFill="1" applyBorder="1"/>
    <xf numFmtId="9" fontId="5" fillId="0" borderId="0" xfId="20" applyFont="1" applyFill="1" applyBorder="1"/>
    <xf numFmtId="9" fontId="5" fillId="0" borderId="0" xfId="1" applyNumberFormat="1" applyFont="1" applyFill="1" applyBorder="1"/>
    <xf numFmtId="0" fontId="7" fillId="0" borderId="0" xfId="1" applyFont="1" applyFill="1" applyBorder="1" applyAlignment="1">
      <alignment horizontal="left"/>
    </xf>
    <xf numFmtId="0" fontId="23" fillId="2" borderId="0" xfId="18" applyFont="1" applyFill="1" applyAlignment="1">
      <alignment horizontal="left" vertical="center"/>
    </xf>
    <xf numFmtId="0" fontId="25" fillId="2" borderId="0" xfId="18" applyFont="1" applyFill="1"/>
    <xf numFmtId="0" fontId="26" fillId="2" borderId="0" xfId="18" applyFont="1" applyFill="1" applyAlignment="1">
      <alignment horizontal="left" vertical="center"/>
    </xf>
    <xf numFmtId="0" fontId="5" fillId="2" borderId="0" xfId="18" applyFont="1" applyFill="1"/>
    <xf numFmtId="0" fontId="27" fillId="9" borderId="0" xfId="18" applyFont="1" applyFill="1" applyAlignment="1">
      <alignment horizontal="center" vertical="center"/>
    </xf>
    <xf numFmtId="0" fontId="27" fillId="9" borderId="0" xfId="18" applyFont="1" applyFill="1" applyAlignment="1">
      <alignment horizontal="center"/>
    </xf>
    <xf numFmtId="0" fontId="4" fillId="2" borderId="0" xfId="18" applyFont="1" applyFill="1" applyBorder="1"/>
    <xf numFmtId="0" fontId="4" fillId="2" borderId="0" xfId="18" applyFont="1" applyFill="1"/>
    <xf numFmtId="0" fontId="5" fillId="2" borderId="0" xfId="18" applyFont="1" applyFill="1" applyAlignment="1">
      <alignment horizontal="center"/>
    </xf>
    <xf numFmtId="0" fontId="4" fillId="2" borderId="0" xfId="18" applyFont="1" applyFill="1" applyBorder="1" applyAlignment="1">
      <alignment horizontal="left"/>
    </xf>
    <xf numFmtId="49" fontId="4" fillId="2" borderId="0" xfId="18" applyNumberFormat="1" applyFont="1" applyFill="1" applyAlignment="1">
      <alignment horizontal="center"/>
    </xf>
    <xf numFmtId="0" fontId="4" fillId="2" borderId="0" xfId="18" applyFont="1" applyFill="1" applyBorder="1" applyAlignment="1">
      <alignment vertical="center"/>
    </xf>
    <xf numFmtId="0" fontId="5" fillId="2" borderId="0" xfId="18" applyFont="1" applyFill="1" applyBorder="1" applyAlignment="1">
      <alignment horizontal="center"/>
    </xf>
    <xf numFmtId="44" fontId="5" fillId="2" borderId="0" xfId="8" applyFont="1" applyFill="1" applyBorder="1"/>
    <xf numFmtId="10" fontId="5" fillId="2" borderId="0" xfId="20" applyNumberFormat="1" applyFont="1" applyFill="1" applyBorder="1"/>
    <xf numFmtId="0" fontId="5" fillId="2" borderId="32" xfId="18" applyFont="1" applyFill="1" applyBorder="1"/>
    <xf numFmtId="0" fontId="5" fillId="2" borderId="32" xfId="18" applyFont="1" applyFill="1" applyBorder="1" applyAlignment="1">
      <alignment horizontal="center"/>
    </xf>
    <xf numFmtId="0" fontId="4" fillId="2" borderId="0" xfId="18" applyFont="1" applyFill="1" applyBorder="1" applyAlignment="1"/>
    <xf numFmtId="0" fontId="9" fillId="2" borderId="33" xfId="18" applyFont="1" applyFill="1" applyBorder="1" applyAlignment="1">
      <alignment horizontal="left"/>
    </xf>
    <xf numFmtId="0" fontId="9" fillId="2" borderId="35" xfId="18" applyFont="1" applyFill="1" applyBorder="1" applyAlignment="1">
      <alignment horizontal="center"/>
    </xf>
    <xf numFmtId="0" fontId="9" fillId="2" borderId="36" xfId="18" applyFont="1" applyFill="1" applyBorder="1" applyAlignment="1">
      <alignment horizontal="center"/>
    </xf>
    <xf numFmtId="0" fontId="9" fillId="2" borderId="0" xfId="18" applyFont="1" applyFill="1" applyBorder="1"/>
    <xf numFmtId="0" fontId="5" fillId="2" borderId="38" xfId="18" applyFont="1" applyFill="1" applyBorder="1"/>
    <xf numFmtId="0" fontId="5" fillId="2" borderId="39" xfId="18" applyFont="1" applyFill="1" applyBorder="1"/>
    <xf numFmtId="0" fontId="9" fillId="2" borderId="0" xfId="18" applyFont="1" applyFill="1" applyBorder="1" applyAlignment="1">
      <alignment horizontal="center"/>
    </xf>
    <xf numFmtId="0" fontId="4" fillId="2" borderId="0" xfId="18" applyFont="1" applyFill="1" applyBorder="1" applyAlignment="1">
      <alignment horizontal="center" wrapText="1"/>
    </xf>
    <xf numFmtId="0" fontId="4" fillId="2" borderId="40" xfId="18" applyFont="1" applyFill="1" applyBorder="1" applyAlignment="1">
      <alignment horizontal="center" wrapText="1"/>
    </xf>
    <xf numFmtId="0" fontId="5" fillId="2" borderId="33" xfId="18" applyFont="1" applyFill="1" applyBorder="1"/>
    <xf numFmtId="3" fontId="4" fillId="2" borderId="38" xfId="18" applyNumberFormat="1" applyFont="1" applyFill="1" applyBorder="1"/>
    <xf numFmtId="3" fontId="4" fillId="2" borderId="39" xfId="18" applyNumberFormat="1" applyFont="1" applyFill="1" applyBorder="1"/>
    <xf numFmtId="0" fontId="5" fillId="2" borderId="0" xfId="18" applyFont="1" applyFill="1" applyBorder="1" applyAlignment="1">
      <alignment horizontal="left" indent="1"/>
    </xf>
    <xf numFmtId="164" fontId="5" fillId="2" borderId="0" xfId="8" applyNumberFormat="1" applyFont="1" applyFill="1" applyBorder="1"/>
    <xf numFmtId="10" fontId="5" fillId="2" borderId="40" xfId="20" applyNumberFormat="1" applyFont="1" applyFill="1" applyBorder="1" applyAlignment="1">
      <alignment horizontal="center"/>
    </xf>
    <xf numFmtId="3" fontId="5" fillId="2" borderId="0" xfId="18" applyNumberFormat="1" applyFont="1" applyFill="1" applyBorder="1"/>
    <xf numFmtId="3" fontId="5" fillId="2" borderId="38" xfId="18" applyNumberFormat="1" applyFont="1" applyFill="1" applyBorder="1"/>
    <xf numFmtId="3" fontId="5" fillId="2" borderId="39" xfId="18" applyNumberFormat="1" applyFont="1" applyFill="1" applyBorder="1"/>
    <xf numFmtId="164" fontId="5" fillId="2" borderId="0" xfId="18" applyNumberFormat="1" applyFont="1" applyFill="1" applyBorder="1"/>
    <xf numFmtId="164" fontId="4" fillId="2" borderId="4" xfId="18" applyNumberFormat="1" applyFont="1" applyFill="1" applyBorder="1"/>
    <xf numFmtId="164" fontId="4" fillId="2" borderId="38" xfId="18" applyNumberFormat="1" applyFont="1" applyFill="1" applyBorder="1"/>
    <xf numFmtId="164" fontId="4" fillId="2" borderId="39" xfId="18" applyNumberFormat="1" applyFont="1" applyFill="1" applyBorder="1"/>
    <xf numFmtId="0" fontId="5" fillId="2" borderId="40" xfId="18" applyFont="1" applyFill="1" applyBorder="1" applyAlignment="1">
      <alignment horizontal="center"/>
    </xf>
    <xf numFmtId="0" fontId="28" fillId="2" borderId="33" xfId="18" applyFont="1" applyFill="1" applyBorder="1"/>
    <xf numFmtId="10" fontId="5" fillId="2" borderId="0" xfId="20" applyNumberFormat="1" applyFont="1" applyFill="1" applyBorder="1" applyAlignment="1">
      <alignment horizontal="center"/>
    </xf>
    <xf numFmtId="164" fontId="4" fillId="2" borderId="0" xfId="18" applyNumberFormat="1" applyFont="1" applyFill="1" applyBorder="1"/>
    <xf numFmtId="164" fontId="4" fillId="2" borderId="0" xfId="8" applyNumberFormat="1" applyFont="1" applyFill="1" applyBorder="1"/>
    <xf numFmtId="10" fontId="4" fillId="2" borderId="40" xfId="20" applyNumberFormat="1" applyFont="1" applyFill="1" applyBorder="1" applyAlignment="1">
      <alignment horizontal="center"/>
    </xf>
    <xf numFmtId="0" fontId="4" fillId="2" borderId="0" xfId="18" applyFont="1" applyFill="1" applyBorder="1" applyAlignment="1">
      <alignment horizontal="center"/>
    </xf>
    <xf numFmtId="0" fontId="4" fillId="2" borderId="0" xfId="18" applyFont="1" applyFill="1" applyBorder="1" applyAlignment="1">
      <alignment horizontal="left" indent="3"/>
    </xf>
    <xf numFmtId="10" fontId="4" fillId="2" borderId="0" xfId="20" applyNumberFormat="1" applyFont="1" applyFill="1" applyBorder="1"/>
    <xf numFmtId="0" fontId="4" fillId="2" borderId="40" xfId="18" applyFont="1" applyFill="1" applyBorder="1" applyAlignment="1">
      <alignment horizontal="center"/>
    </xf>
    <xf numFmtId="44" fontId="4" fillId="2" borderId="0" xfId="8" applyNumberFormat="1" applyFont="1" applyFill="1" applyBorder="1"/>
    <xf numFmtId="7" fontId="4" fillId="2" borderId="0" xfId="20" applyNumberFormat="1" applyFont="1" applyFill="1" applyBorder="1"/>
    <xf numFmtId="0" fontId="4" fillId="2" borderId="33" xfId="18" applyFont="1" applyFill="1" applyBorder="1" applyAlignment="1">
      <alignment horizontal="center"/>
    </xf>
    <xf numFmtId="0" fontId="5" fillId="2" borderId="0" xfId="18" applyFont="1" applyFill="1" applyBorder="1" applyAlignment="1"/>
    <xf numFmtId="44" fontId="4" fillId="2" borderId="0" xfId="20" applyNumberFormat="1" applyFont="1" applyFill="1" applyBorder="1"/>
    <xf numFmtId="44" fontId="4" fillId="2" borderId="0" xfId="18" applyNumberFormat="1" applyFont="1" applyFill="1" applyBorder="1"/>
    <xf numFmtId="0" fontId="4" fillId="2" borderId="42" xfId="18" applyFont="1" applyFill="1" applyBorder="1" applyAlignment="1"/>
    <xf numFmtId="0" fontId="5" fillId="2" borderId="42" xfId="18" applyFont="1" applyFill="1" applyBorder="1"/>
    <xf numFmtId="44" fontId="4" fillId="2" borderId="42" xfId="8" applyFont="1" applyFill="1" applyBorder="1"/>
    <xf numFmtId="0" fontId="5" fillId="2" borderId="43" xfId="18" applyFont="1" applyFill="1" applyBorder="1"/>
    <xf numFmtId="0" fontId="4" fillId="2" borderId="44" xfId="18" applyFont="1" applyFill="1" applyBorder="1" applyAlignment="1"/>
    <xf numFmtId="0" fontId="5" fillId="2" borderId="44" xfId="18" applyFont="1" applyFill="1" applyBorder="1"/>
    <xf numFmtId="44" fontId="29" fillId="2" borderId="44" xfId="8" applyFont="1" applyFill="1" applyBorder="1"/>
    <xf numFmtId="0" fontId="5" fillId="2" borderId="45" xfId="18" applyFont="1" applyFill="1" applyBorder="1" applyAlignment="1">
      <alignment horizontal="center"/>
    </xf>
    <xf numFmtId="44" fontId="4" fillId="2" borderId="0" xfId="8" applyFont="1" applyFill="1" applyBorder="1"/>
    <xf numFmtId="0" fontId="5" fillId="2" borderId="46" xfId="18" applyFont="1" applyFill="1" applyBorder="1"/>
    <xf numFmtId="0" fontId="5" fillId="2" borderId="47" xfId="18" applyFont="1" applyFill="1" applyBorder="1"/>
    <xf numFmtId="0" fontId="28" fillId="2" borderId="0" xfId="18" applyFont="1" applyFill="1" applyBorder="1"/>
    <xf numFmtId="44" fontId="4" fillId="2" borderId="44" xfId="18" applyNumberFormat="1" applyFont="1" applyFill="1" applyBorder="1"/>
    <xf numFmtId="0" fontId="3" fillId="6" borderId="0" xfId="1" applyFont="1" applyFill="1"/>
    <xf numFmtId="0" fontId="4" fillId="6" borderId="0" xfId="1" applyFont="1" applyFill="1"/>
    <xf numFmtId="164" fontId="5" fillId="6" borderId="0" xfId="8" applyNumberFormat="1" applyFont="1" applyFill="1"/>
    <xf numFmtId="0" fontId="5" fillId="6" borderId="0" xfId="1" applyFont="1" applyFill="1"/>
    <xf numFmtId="0" fontId="6" fillId="6" borderId="0" xfId="1" applyFont="1" applyFill="1"/>
    <xf numFmtId="0" fontId="5" fillId="6" borderId="0" xfId="1" applyFont="1" applyFill="1" applyBorder="1" applyAlignment="1">
      <alignment horizontal="left" indent="1"/>
    </xf>
    <xf numFmtId="0" fontId="5" fillId="6" borderId="0" xfId="1" applyFont="1" applyFill="1" applyBorder="1"/>
    <xf numFmtId="0" fontId="4" fillId="0" borderId="48" xfId="1" applyFont="1" applyFill="1" applyBorder="1" applyAlignment="1">
      <alignment horizontal="left" indent="1"/>
    </xf>
    <xf numFmtId="0" fontId="5" fillId="0" borderId="49" xfId="1" applyFont="1" applyFill="1" applyBorder="1"/>
    <xf numFmtId="0" fontId="30" fillId="0" borderId="49" xfId="1" applyFont="1" applyFill="1" applyBorder="1" applyAlignment="1">
      <alignment horizontal="center" vertical="center"/>
    </xf>
    <xf numFmtId="0" fontId="14" fillId="0" borderId="50" xfId="1" applyFont="1" applyFill="1" applyBorder="1" applyAlignment="1">
      <alignment horizontal="center"/>
    </xf>
    <xf numFmtId="49" fontId="15" fillId="10" borderId="29" xfId="1" applyNumberFormat="1" applyFont="1" applyFill="1" applyBorder="1" applyAlignment="1">
      <alignment horizontal="center" wrapText="1"/>
    </xf>
    <xf numFmtId="49" fontId="15" fillId="10" borderId="30" xfId="1" applyNumberFormat="1" applyFont="1" applyFill="1" applyBorder="1" applyAlignment="1">
      <alignment horizontal="center" wrapText="1"/>
    </xf>
    <xf numFmtId="49" fontId="15" fillId="10" borderId="30" xfId="1" applyNumberFormat="1" applyFont="1" applyFill="1" applyBorder="1" applyAlignment="1">
      <alignment horizontal="center"/>
    </xf>
    <xf numFmtId="49" fontId="15" fillId="10" borderId="31" xfId="1" applyNumberFormat="1" applyFont="1" applyFill="1" applyBorder="1" applyAlignment="1">
      <alignment horizontal="center" wrapText="1"/>
    </xf>
    <xf numFmtId="0" fontId="5" fillId="6" borderId="0" xfId="1" applyFont="1" applyFill="1" applyAlignment="1">
      <alignment horizontal="center"/>
    </xf>
    <xf numFmtId="165" fontId="15" fillId="0" borderId="4" xfId="1" applyNumberFormat="1" applyFont="1" applyFill="1" applyBorder="1" applyAlignment="1">
      <alignment vertical="top"/>
    </xf>
    <xf numFmtId="0" fontId="17" fillId="2" borderId="0" xfId="1" applyFont="1" applyFill="1"/>
    <xf numFmtId="0" fontId="32" fillId="2" borderId="0" xfId="14" applyFont="1" applyFill="1" applyAlignment="1" applyProtection="1"/>
    <xf numFmtId="0" fontId="2" fillId="2" borderId="0" xfId="17" applyFont="1" applyFill="1"/>
    <xf numFmtId="0" fontId="3" fillId="2" borderId="0" xfId="17" applyFont="1" applyFill="1"/>
    <xf numFmtId="0" fontId="2" fillId="2" borderId="0" xfId="17" applyFont="1" applyFill="1" applyAlignment="1">
      <alignment horizontal="center"/>
    </xf>
    <xf numFmtId="0" fontId="8" fillId="2" borderId="0" xfId="17" applyFont="1" applyFill="1"/>
    <xf numFmtId="0" fontId="2" fillId="2" borderId="0" xfId="17" applyFont="1" applyFill="1" applyBorder="1" applyAlignment="1">
      <alignment horizontal="left"/>
    </xf>
    <xf numFmtId="0" fontId="2" fillId="2" borderId="0" xfId="17" applyFont="1" applyFill="1" applyBorder="1" applyAlignment="1">
      <alignment horizontal="center"/>
    </xf>
    <xf numFmtId="0" fontId="2" fillId="2" borderId="41" xfId="17" applyFont="1" applyFill="1" applyBorder="1" applyAlignment="1">
      <alignment horizontal="left"/>
    </xf>
    <xf numFmtId="0" fontId="2" fillId="2" borderId="0" xfId="17" applyFont="1" applyFill="1" applyBorder="1" applyAlignment="1"/>
    <xf numFmtId="0" fontId="13" fillId="2" borderId="0" xfId="17" applyFont="1" applyFill="1"/>
    <xf numFmtId="0" fontId="2" fillId="2" borderId="44" xfId="17" applyFont="1" applyFill="1" applyBorder="1"/>
    <xf numFmtId="0" fontId="2" fillId="2" borderId="2" xfId="17" applyFont="1" applyFill="1" applyBorder="1"/>
    <xf numFmtId="0" fontId="2" fillId="2" borderId="3" xfId="17" applyFont="1" applyFill="1" applyBorder="1"/>
    <xf numFmtId="0" fontId="13" fillId="2" borderId="2" xfId="17" applyFont="1" applyFill="1" applyBorder="1"/>
    <xf numFmtId="0" fontId="13" fillId="2" borderId="1" xfId="17" applyFont="1" applyFill="1" applyBorder="1"/>
    <xf numFmtId="0" fontId="13" fillId="2" borderId="3" xfId="17" applyFont="1" applyFill="1" applyBorder="1"/>
    <xf numFmtId="0" fontId="13" fillId="2" borderId="51" xfId="17" applyFont="1" applyFill="1" applyBorder="1" applyAlignment="1">
      <alignment wrapText="1"/>
    </xf>
    <xf numFmtId="4" fontId="13" fillId="2" borderId="51" xfId="17" applyNumberFormat="1" applyFont="1" applyFill="1" applyBorder="1" applyAlignment="1">
      <alignment wrapText="1"/>
    </xf>
    <xf numFmtId="0" fontId="13" fillId="2" borderId="51" xfId="17" applyNumberFormat="1" applyFont="1" applyFill="1" applyBorder="1" applyAlignment="1">
      <alignment horizontal="left" wrapText="1"/>
    </xf>
    <xf numFmtId="3" fontId="13" fillId="2" borderId="51" xfId="17" applyNumberFormat="1" applyFont="1" applyFill="1" applyBorder="1" applyAlignment="1">
      <alignment horizontal="center" wrapText="1"/>
    </xf>
    <xf numFmtId="0" fontId="2" fillId="2" borderId="52" xfId="17" applyFont="1" applyFill="1" applyBorder="1" applyAlignment="1">
      <alignment horizontal="center"/>
    </xf>
    <xf numFmtId="0" fontId="2" fillId="2" borderId="17" xfId="17" applyFont="1" applyFill="1" applyBorder="1" applyAlignment="1">
      <alignment horizontal="center"/>
    </xf>
    <xf numFmtId="0" fontId="2" fillId="2" borderId="18" xfId="17" applyFont="1" applyFill="1" applyBorder="1" applyAlignment="1">
      <alignment horizontal="center"/>
    </xf>
    <xf numFmtId="3" fontId="13" fillId="2" borderId="52" xfId="17" applyNumberFormat="1" applyFont="1" applyFill="1" applyBorder="1" applyAlignment="1">
      <alignment wrapText="1"/>
    </xf>
    <xf numFmtId="3" fontId="13" fillId="2" borderId="17" xfId="17" applyNumberFormat="1" applyFont="1" applyFill="1" applyBorder="1" applyAlignment="1">
      <alignment wrapText="1"/>
    </xf>
    <xf numFmtId="3" fontId="2" fillId="2" borderId="17" xfId="17" applyNumberFormat="1" applyFont="1" applyFill="1" applyBorder="1"/>
    <xf numFmtId="3" fontId="2" fillId="2" borderId="18" xfId="17" applyNumberFormat="1" applyFont="1" applyFill="1" applyBorder="1"/>
    <xf numFmtId="0" fontId="2" fillId="2" borderId="0" xfId="17" applyFont="1" applyFill="1" applyBorder="1"/>
    <xf numFmtId="3" fontId="13" fillId="2" borderId="0" xfId="17" applyNumberFormat="1" applyFont="1" applyFill="1" applyBorder="1" applyAlignment="1">
      <alignment horizontal="right"/>
    </xf>
    <xf numFmtId="0" fontId="2" fillId="2" borderId="17" xfId="17" applyFont="1" applyFill="1" applyBorder="1"/>
    <xf numFmtId="4" fontId="2" fillId="2" borderId="17" xfId="17" applyNumberFormat="1" applyFont="1" applyFill="1" applyBorder="1" applyAlignment="1">
      <alignment wrapText="1"/>
    </xf>
    <xf numFmtId="4" fontId="2" fillId="2" borderId="17" xfId="17" applyNumberFormat="1" applyFont="1" applyFill="1" applyBorder="1"/>
    <xf numFmtId="0" fontId="2" fillId="2" borderId="17" xfId="17" applyNumberFormat="1" applyFont="1" applyFill="1" applyBorder="1" applyAlignment="1">
      <alignment horizontal="left" wrapText="1"/>
    </xf>
    <xf numFmtId="3" fontId="2" fillId="2" borderId="17" xfId="17" applyNumberFormat="1" applyFont="1" applyFill="1" applyBorder="1" applyAlignment="1">
      <alignment horizontal="center"/>
    </xf>
    <xf numFmtId="4" fontId="2" fillId="2" borderId="4" xfId="17" applyNumberFormat="1" applyFont="1" applyFill="1" applyBorder="1"/>
    <xf numFmtId="0" fontId="2" fillId="2" borderId="4" xfId="17" applyNumberFormat="1" applyFont="1" applyFill="1" applyBorder="1"/>
    <xf numFmtId="3" fontId="2" fillId="2" borderId="17" xfId="17" applyNumberFormat="1" applyFont="1" applyFill="1" applyBorder="1" applyAlignment="1">
      <alignment horizontal="right"/>
    </xf>
    <xf numFmtId="2" fontId="2" fillId="2" borderId="17" xfId="17" applyNumberFormat="1" applyFont="1" applyFill="1" applyBorder="1" applyAlignment="1" applyProtection="1">
      <alignment horizontal="center" wrapText="1"/>
    </xf>
    <xf numFmtId="2" fontId="2" fillId="2" borderId="17" xfId="17" applyNumberFormat="1" applyFont="1" applyFill="1" applyBorder="1" applyAlignment="1" applyProtection="1"/>
    <xf numFmtId="3" fontId="2" fillId="2" borderId="4" xfId="17" applyNumberFormat="1" applyFont="1" applyFill="1" applyBorder="1"/>
    <xf numFmtId="2" fontId="2" fillId="2" borderId="4" xfId="17" applyNumberFormat="1" applyFont="1" applyFill="1" applyBorder="1" applyAlignment="1" applyProtection="1"/>
    <xf numFmtId="2" fontId="2" fillId="2" borderId="0" xfId="17" applyNumberFormat="1" applyFont="1" applyFill="1" applyBorder="1"/>
    <xf numFmtId="1" fontId="2" fillId="2" borderId="0" xfId="17" applyNumberFormat="1" applyFont="1" applyFill="1" applyBorder="1"/>
    <xf numFmtId="0" fontId="2" fillId="2" borderId="4" xfId="17" applyFont="1" applyFill="1" applyBorder="1"/>
    <xf numFmtId="4" fontId="2" fillId="2" borderId="4" xfId="17" applyNumberFormat="1" applyFont="1" applyFill="1" applyBorder="1" applyAlignment="1">
      <alignment wrapText="1"/>
    </xf>
    <xf numFmtId="0" fontId="2" fillId="2" borderId="4" xfId="17" applyNumberFormat="1" applyFont="1" applyFill="1" applyBorder="1" applyAlignment="1">
      <alignment horizontal="left" wrapText="1"/>
    </xf>
    <xf numFmtId="3" fontId="2" fillId="2" borderId="4" xfId="17" applyNumberFormat="1" applyFont="1" applyFill="1" applyBorder="1" applyAlignment="1">
      <alignment horizontal="center"/>
    </xf>
    <xf numFmtId="3" fontId="2" fillId="2" borderId="4" xfId="17" applyNumberFormat="1" applyFont="1" applyFill="1" applyBorder="1" applyAlignment="1">
      <alignment horizontal="right"/>
    </xf>
    <xf numFmtId="2" fontId="2" fillId="2" borderId="4" xfId="17" applyNumberFormat="1" applyFont="1" applyFill="1" applyBorder="1" applyAlignment="1" applyProtection="1">
      <alignment horizontal="center" wrapText="1"/>
    </xf>
    <xf numFmtId="1" fontId="2" fillId="2" borderId="0" xfId="17" applyNumberFormat="1" applyFont="1" applyFill="1"/>
    <xf numFmtId="4" fontId="2" fillId="2" borderId="4" xfId="17" applyNumberFormat="1" applyFont="1" applyFill="1" applyBorder="1" applyAlignment="1">
      <alignment horizontal="center"/>
    </xf>
    <xf numFmtId="4" fontId="13" fillId="2" borderId="0" xfId="13" applyFont="1" applyFill="1"/>
    <xf numFmtId="4" fontId="13" fillId="2" borderId="4" xfId="13" applyFont="1" applyFill="1" applyBorder="1" applyAlignment="1">
      <alignment wrapText="1"/>
    </xf>
    <xf numFmtId="4" fontId="13" fillId="2" borderId="4" xfId="13" applyFont="1" applyFill="1" applyBorder="1"/>
    <xf numFmtId="4" fontId="13" fillId="2" borderId="4" xfId="13" applyFont="1" applyFill="1" applyBorder="1" applyAlignment="1">
      <alignment horizontal="left" wrapText="1"/>
    </xf>
    <xf numFmtId="4" fontId="13" fillId="2" borderId="4" xfId="13" applyFont="1" applyFill="1" applyBorder="1" applyAlignment="1">
      <alignment horizontal="center"/>
    </xf>
    <xf numFmtId="167" fontId="13" fillId="2" borderId="4" xfId="13" applyNumberFormat="1" applyFont="1" applyFill="1" applyBorder="1" applyAlignment="1">
      <alignment horizontal="right"/>
    </xf>
    <xf numFmtId="3" fontId="13" fillId="2" borderId="0" xfId="17" applyNumberFormat="1" applyFont="1" applyFill="1" applyBorder="1"/>
    <xf numFmtId="1" fontId="13" fillId="2" borderId="0" xfId="17" applyNumberFormat="1" applyFont="1" applyFill="1"/>
    <xf numFmtId="4" fontId="13" fillId="2" borderId="4" xfId="13" applyFont="1" applyFill="1" applyBorder="1" applyAlignment="1">
      <alignment horizontal="center" wrapText="1"/>
    </xf>
    <xf numFmtId="167" fontId="13" fillId="2" borderId="4" xfId="13" applyNumberFormat="1" applyFont="1" applyFill="1" applyBorder="1"/>
    <xf numFmtId="0" fontId="2" fillId="2" borderId="0" xfId="17" applyFont="1" applyFill="1" applyBorder="1" applyAlignment="1">
      <alignment wrapText="1"/>
    </xf>
    <xf numFmtId="0" fontId="2" fillId="2" borderId="0" xfId="17" applyNumberFormat="1" applyFont="1" applyFill="1" applyBorder="1" applyAlignment="1">
      <alignment horizontal="left" wrapText="1"/>
    </xf>
    <xf numFmtId="3" fontId="2" fillId="2" borderId="0" xfId="17" applyNumberFormat="1" applyFont="1" applyFill="1" applyBorder="1" applyAlignment="1">
      <alignment horizontal="right"/>
    </xf>
    <xf numFmtId="3" fontId="2" fillId="2" borderId="0" xfId="17" applyNumberFormat="1" applyFont="1" applyFill="1" applyBorder="1"/>
    <xf numFmtId="3" fontId="2" fillId="2" borderId="0" xfId="17" applyNumberFormat="1" applyFont="1" applyFill="1" applyBorder="1" applyAlignment="1">
      <alignment horizontal="center" wrapText="1"/>
    </xf>
    <xf numFmtId="0" fontId="2" fillId="2" borderId="0" xfId="17" applyFont="1" applyFill="1" applyAlignment="1">
      <alignment wrapText="1"/>
    </xf>
    <xf numFmtId="0" fontId="2" fillId="2" borderId="0" xfId="17" applyFont="1" applyFill="1" applyAlignment="1">
      <alignment horizontal="left"/>
    </xf>
    <xf numFmtId="0" fontId="2" fillId="2" borderId="0" xfId="17" applyNumberFormat="1" applyFont="1" applyFill="1" applyAlignment="1">
      <alignment horizontal="left" wrapText="1"/>
    </xf>
    <xf numFmtId="3" fontId="2" fillId="2" borderId="0" xfId="17" applyNumberFormat="1" applyFont="1" applyFill="1" applyAlignment="1">
      <alignment horizontal="right"/>
    </xf>
    <xf numFmtId="3" fontId="2" fillId="2" borderId="0" xfId="17" applyNumberFormat="1" applyFont="1" applyFill="1"/>
    <xf numFmtId="3" fontId="2" fillId="2" borderId="0" xfId="17" applyNumberFormat="1" applyFont="1" applyFill="1" applyAlignment="1">
      <alignment horizontal="center" wrapText="1"/>
    </xf>
    <xf numFmtId="0" fontId="7" fillId="6" borderId="0" xfId="1" applyFont="1" applyFill="1"/>
    <xf numFmtId="0" fontId="2" fillId="6" borderId="0" xfId="1" applyFont="1" applyFill="1"/>
    <xf numFmtId="0" fontId="2" fillId="2" borderId="0" xfId="1" applyFont="1" applyFill="1" applyBorder="1"/>
    <xf numFmtId="0" fontId="2" fillId="2" borderId="0" xfId="1" applyFont="1" applyFill="1" applyBorder="1" applyAlignment="1"/>
    <xf numFmtId="0" fontId="13" fillId="6" borderId="51"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6" borderId="26" xfId="1" applyFont="1" applyFill="1" applyBorder="1" applyAlignment="1">
      <alignment horizontal="center" vertical="center" wrapText="1"/>
    </xf>
    <xf numFmtId="0" fontId="13" fillId="6" borderId="23" xfId="1" applyFont="1" applyFill="1" applyBorder="1" applyAlignment="1">
      <alignment horizontal="center" vertical="center" wrapText="1"/>
    </xf>
    <xf numFmtId="0" fontId="13" fillId="6" borderId="27" xfId="1" applyFont="1" applyFill="1" applyBorder="1" applyAlignment="1">
      <alignment horizontal="center" vertical="center" wrapText="1"/>
    </xf>
    <xf numFmtId="0" fontId="13" fillId="6" borderId="0" xfId="1" applyFont="1" applyFill="1" applyAlignment="1">
      <alignment horizontal="center" vertical="center" wrapText="1"/>
    </xf>
    <xf numFmtId="168" fontId="2" fillId="10" borderId="21" xfId="3" applyNumberFormat="1" applyFont="1" applyFill="1" applyBorder="1" applyAlignment="1">
      <alignment wrapText="1"/>
    </xf>
    <xf numFmtId="168" fontId="2" fillId="10" borderId="21" xfId="3" applyNumberFormat="1" applyFont="1" applyFill="1" applyBorder="1" applyAlignment="1">
      <alignment horizontal="left" wrapText="1"/>
    </xf>
    <xf numFmtId="168" fontId="2" fillId="2" borderId="0" xfId="3" applyNumberFormat="1" applyFont="1" applyFill="1" applyBorder="1"/>
    <xf numFmtId="168" fontId="2" fillId="10" borderId="6" xfId="3" applyNumberFormat="1" applyFont="1" applyFill="1" applyBorder="1" applyAlignment="1">
      <alignment vertical="center" wrapText="1"/>
    </xf>
    <xf numFmtId="42" fontId="2" fillId="10" borderId="7" xfId="3" applyNumberFormat="1" applyFont="1" applyFill="1" applyBorder="1" applyAlignment="1">
      <alignment vertical="center"/>
    </xf>
    <xf numFmtId="168" fontId="2" fillId="2" borderId="0" xfId="3" applyNumberFormat="1" applyFont="1" applyFill="1" applyBorder="1" applyAlignment="1">
      <alignment vertical="center"/>
    </xf>
    <xf numFmtId="42" fontId="2" fillId="10" borderId="14" xfId="3" applyNumberFormat="1" applyFont="1" applyFill="1" applyBorder="1" applyAlignment="1">
      <alignment vertical="center"/>
    </xf>
    <xf numFmtId="168" fontId="2" fillId="10" borderId="7" xfId="3" applyNumberFormat="1" applyFont="1" applyFill="1" applyBorder="1" applyAlignment="1">
      <alignment horizontal="center" vertical="center"/>
    </xf>
    <xf numFmtId="0" fontId="2" fillId="6" borderId="53" xfId="1" applyFont="1" applyFill="1" applyBorder="1" applyAlignment="1">
      <alignment wrapText="1"/>
    </xf>
    <xf numFmtId="168" fontId="2" fillId="6" borderId="53" xfId="3" applyNumberFormat="1" applyFont="1" applyFill="1" applyBorder="1" applyAlignment="1">
      <alignment wrapText="1"/>
    </xf>
    <xf numFmtId="168" fontId="2" fillId="2" borderId="0" xfId="3" applyNumberFormat="1" applyFont="1" applyFill="1" applyBorder="1" applyAlignment="1">
      <alignment wrapText="1"/>
    </xf>
    <xf numFmtId="168" fontId="2" fillId="6" borderId="16" xfId="3" applyNumberFormat="1" applyFont="1" applyFill="1" applyBorder="1" applyAlignment="1">
      <alignment wrapText="1"/>
    </xf>
    <xf numFmtId="42" fontId="2" fillId="6" borderId="19" xfId="3" applyNumberFormat="1" applyFont="1" applyFill="1" applyBorder="1"/>
    <xf numFmtId="168" fontId="2" fillId="6" borderId="17" xfId="3" applyNumberFormat="1" applyFont="1" applyFill="1" applyBorder="1" applyAlignment="1">
      <alignment wrapText="1"/>
    </xf>
    <xf numFmtId="42" fontId="2" fillId="6" borderId="19" xfId="3" applyNumberFormat="1" applyFont="1" applyFill="1" applyBorder="1" applyAlignment="1">
      <alignment horizontal="center" wrapText="1"/>
    </xf>
    <xf numFmtId="0" fontId="2" fillId="6" borderId="24" xfId="1" applyFont="1" applyFill="1" applyBorder="1" applyAlignment="1">
      <alignment wrapText="1"/>
    </xf>
    <xf numFmtId="168" fontId="2" fillId="6" borderId="24" xfId="3" applyNumberFormat="1" applyFont="1" applyFill="1" applyBorder="1" applyAlignment="1">
      <alignment wrapText="1"/>
    </xf>
    <xf numFmtId="168" fontId="2" fillId="6" borderId="9" xfId="3" applyNumberFormat="1" applyFont="1" applyFill="1" applyBorder="1" applyAlignment="1">
      <alignment wrapText="1"/>
    </xf>
    <xf numFmtId="42" fontId="2" fillId="6" borderId="10" xfId="3" applyNumberFormat="1" applyFont="1" applyFill="1" applyBorder="1"/>
    <xf numFmtId="0" fontId="2" fillId="6" borderId="9" xfId="1" applyFont="1" applyFill="1" applyBorder="1" applyAlignment="1">
      <alignment wrapText="1"/>
    </xf>
    <xf numFmtId="42" fontId="2" fillId="6" borderId="10" xfId="1" applyNumberFormat="1" applyFont="1" applyFill="1" applyBorder="1" applyAlignment="1">
      <alignment horizontal="center" wrapText="1"/>
    </xf>
    <xf numFmtId="0" fontId="7" fillId="10" borderId="25" xfId="1" applyFont="1" applyFill="1" applyBorder="1" applyAlignment="1">
      <alignment horizontal="left"/>
    </xf>
    <xf numFmtId="168" fontId="2" fillId="10" borderId="25" xfId="3" applyNumberFormat="1" applyFont="1" applyFill="1" applyBorder="1"/>
    <xf numFmtId="168" fontId="2" fillId="10" borderId="12" xfId="3" applyNumberFormat="1" applyFont="1" applyFill="1" applyBorder="1"/>
    <xf numFmtId="42" fontId="2" fillId="10" borderId="13" xfId="3" applyNumberFormat="1" applyFont="1" applyFill="1" applyBorder="1"/>
    <xf numFmtId="168" fontId="2" fillId="10" borderId="12" xfId="3" applyNumberFormat="1" applyFont="1" applyFill="1" applyBorder="1" applyAlignment="1">
      <alignment wrapText="1"/>
    </xf>
    <xf numFmtId="42" fontId="2" fillId="10" borderId="15" xfId="3" applyNumberFormat="1" applyFont="1" applyFill="1" applyBorder="1"/>
    <xf numFmtId="168" fontId="2" fillId="10" borderId="13" xfId="3" applyNumberFormat="1" applyFont="1" applyFill="1" applyBorder="1"/>
    <xf numFmtId="0" fontId="34" fillId="6" borderId="0" xfId="1" applyFont="1" applyFill="1"/>
    <xf numFmtId="0" fontId="13" fillId="2" borderId="0" xfId="1" applyFont="1" applyFill="1" applyAlignment="1">
      <alignment horizontal="left" vertical="center"/>
    </xf>
    <xf numFmtId="0" fontId="2" fillId="2" borderId="0" xfId="1" applyFont="1" applyFill="1" applyAlignment="1">
      <alignment horizontal="left" vertical="center"/>
    </xf>
    <xf numFmtId="0" fontId="5" fillId="0" borderId="0" xfId="1" applyFont="1" applyFill="1"/>
    <xf numFmtId="0" fontId="2" fillId="0" borderId="0" xfId="1" applyFont="1" applyFill="1"/>
    <xf numFmtId="0" fontId="3" fillId="0" borderId="0" xfId="1" applyFont="1" applyFill="1" applyAlignment="1">
      <alignment horizontal="left" vertical="center"/>
    </xf>
    <xf numFmtId="0" fontId="5" fillId="0" borderId="0" xfId="1" applyFont="1" applyFill="1" applyAlignment="1">
      <alignment horizontal="left" vertical="center"/>
    </xf>
    <xf numFmtId="0" fontId="2" fillId="4" borderId="1"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2" borderId="0" xfId="1" applyFont="1" applyFill="1" applyAlignment="1">
      <alignment vertical="center"/>
    </xf>
    <xf numFmtId="0" fontId="2" fillId="0" borderId="4" xfId="1" applyFont="1" applyFill="1" applyBorder="1"/>
    <xf numFmtId="0" fontId="2" fillId="0" borderId="57" xfId="1" applyFont="1" applyFill="1" applyBorder="1"/>
    <xf numFmtId="0" fontId="2" fillId="0" borderId="15" xfId="1" applyFont="1" applyFill="1" applyBorder="1"/>
    <xf numFmtId="0" fontId="2" fillId="0" borderId="0" xfId="1" applyFont="1" applyFill="1" applyAlignment="1">
      <alignment horizontal="right"/>
    </xf>
    <xf numFmtId="0" fontId="2" fillId="0" borderId="0" xfId="1" applyFont="1" applyFill="1" applyBorder="1" applyAlignment="1">
      <alignment horizontal="right"/>
    </xf>
    <xf numFmtId="0" fontId="2" fillId="2" borderId="58" xfId="1" applyFont="1" applyFill="1" applyBorder="1"/>
    <xf numFmtId="0" fontId="5" fillId="0" borderId="0" xfId="1" applyFont="1" applyFill="1" applyAlignment="1">
      <alignment horizontal="right"/>
    </xf>
    <xf numFmtId="0" fontId="5" fillId="0" borderId="0" xfId="1" applyFont="1" applyFill="1" applyBorder="1" applyAlignment="1">
      <alignment horizontal="right"/>
    </xf>
    <xf numFmtId="0" fontId="3" fillId="0" borderId="0" xfId="1" applyFont="1" applyFill="1"/>
    <xf numFmtId="0" fontId="28" fillId="0" borderId="0" xfId="1" applyFont="1" applyFill="1" applyBorder="1"/>
    <xf numFmtId="0" fontId="2" fillId="2" borderId="0" xfId="1" applyFont="1" applyFill="1" applyAlignment="1">
      <alignment vertical="center" wrapText="1"/>
    </xf>
    <xf numFmtId="0" fontId="2" fillId="2" borderId="55" xfId="1" applyFont="1" applyFill="1" applyBorder="1"/>
    <xf numFmtId="0" fontId="2" fillId="2" borderId="17" xfId="1" applyFont="1" applyFill="1" applyBorder="1"/>
    <xf numFmtId="0" fontId="2" fillId="2" borderId="56" xfId="1" applyFont="1" applyFill="1" applyBorder="1"/>
    <xf numFmtId="0" fontId="2" fillId="2" borderId="4" xfId="1" applyFont="1" applyFill="1" applyBorder="1"/>
    <xf numFmtId="0" fontId="2" fillId="2" borderId="57" xfId="1" applyFont="1" applyFill="1" applyBorder="1"/>
    <xf numFmtId="0" fontId="2" fillId="2" borderId="15" xfId="1" applyFont="1" applyFill="1" applyBorder="1"/>
    <xf numFmtId="0" fontId="2" fillId="2" borderId="0" xfId="1" applyFont="1" applyFill="1" applyAlignment="1">
      <alignment horizontal="right"/>
    </xf>
    <xf numFmtId="0" fontId="2" fillId="2" borderId="0" xfId="1" applyFont="1" applyFill="1" applyBorder="1" applyAlignment="1">
      <alignment horizontal="right"/>
    </xf>
    <xf numFmtId="0" fontId="5" fillId="2" borderId="0" xfId="1" applyFont="1" applyFill="1" applyAlignment="1">
      <alignment horizontal="right"/>
    </xf>
    <xf numFmtId="0" fontId="5" fillId="2" borderId="0" xfId="1" applyFont="1" applyFill="1" applyBorder="1" applyAlignment="1">
      <alignment horizontal="right"/>
    </xf>
    <xf numFmtId="0" fontId="6" fillId="2" borderId="0" xfId="1" applyFont="1" applyFill="1"/>
    <xf numFmtId="0" fontId="35" fillId="2" borderId="0" xfId="14" applyFont="1" applyFill="1" applyAlignment="1" applyProtection="1"/>
    <xf numFmtId="164" fontId="5" fillId="6" borderId="0" xfId="11" applyNumberFormat="1" applyFont="1" applyFill="1"/>
    <xf numFmtId="43" fontId="5" fillId="6" borderId="0" xfId="2" applyFont="1" applyFill="1"/>
    <xf numFmtId="164" fontId="5" fillId="6" borderId="0" xfId="11" applyNumberFormat="1" applyFont="1" applyFill="1" applyBorder="1"/>
    <xf numFmtId="0" fontId="4" fillId="0" borderId="0" xfId="1" applyFont="1" applyFill="1" applyBorder="1" applyAlignment="1">
      <alignment horizontal="left" indent="1"/>
    </xf>
    <xf numFmtId="0" fontId="30" fillId="0" borderId="0" xfId="1" applyFont="1" applyFill="1" applyBorder="1" applyAlignment="1">
      <alignment horizontal="center" vertical="center"/>
    </xf>
    <xf numFmtId="0" fontId="14" fillId="0" borderId="0" xfId="1" applyFont="1" applyFill="1" applyBorder="1" applyAlignment="1">
      <alignment horizontal="center"/>
    </xf>
    <xf numFmtId="0" fontId="14" fillId="0" borderId="4" xfId="1" applyFont="1" applyFill="1" applyBorder="1" applyAlignment="1">
      <alignment horizontal="center" vertical="center"/>
    </xf>
    <xf numFmtId="0" fontId="4" fillId="6" borderId="0" xfId="1" applyFont="1" applyFill="1" applyBorder="1" applyAlignment="1">
      <alignment horizontal="center"/>
    </xf>
    <xf numFmtId="164" fontId="5" fillId="10" borderId="4" xfId="11" applyNumberFormat="1" applyFont="1" applyFill="1" applyBorder="1" applyAlignment="1">
      <alignment horizontal="center" vertical="top" wrapText="1"/>
    </xf>
    <xf numFmtId="164" fontId="5" fillId="10" borderId="4" xfId="11" applyNumberFormat="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6" borderId="0" xfId="1" applyFont="1" applyFill="1" applyBorder="1" applyAlignment="1">
      <alignment horizontal="center" vertical="top"/>
    </xf>
    <xf numFmtId="0" fontId="5" fillId="6" borderId="4" xfId="1" applyFont="1" applyFill="1" applyBorder="1" applyAlignment="1">
      <alignment horizontal="center"/>
    </xf>
    <xf numFmtId="43" fontId="5" fillId="6" borderId="4" xfId="2" applyFont="1" applyFill="1" applyBorder="1" applyAlignment="1">
      <alignment horizontal="center"/>
    </xf>
    <xf numFmtId="0" fontId="5" fillId="6" borderId="4" xfId="1" applyFont="1" applyFill="1" applyBorder="1"/>
    <xf numFmtId="0" fontId="4" fillId="6" borderId="4" xfId="1" applyFont="1" applyFill="1" applyBorder="1" applyAlignment="1">
      <alignment horizontal="center"/>
    </xf>
    <xf numFmtId="0" fontId="4" fillId="6" borderId="4" xfId="1" applyFont="1" applyFill="1" applyBorder="1"/>
    <xf numFmtId="43" fontId="4" fillId="6" borderId="4" xfId="2" applyFont="1" applyFill="1" applyBorder="1" applyAlignment="1">
      <alignment horizontal="center"/>
    </xf>
    <xf numFmtId="0" fontId="3" fillId="2" borderId="0" xfId="1" quotePrefix="1" applyFont="1" applyFill="1" applyAlignment="1">
      <alignment horizontal="left"/>
    </xf>
    <xf numFmtId="0" fontId="13" fillId="2" borderId="0" xfId="1" quotePrefix="1" applyFont="1" applyFill="1" applyAlignment="1">
      <alignment horizontal="left"/>
    </xf>
    <xf numFmtId="0" fontId="4" fillId="4" borderId="1" xfId="1" applyFont="1" applyFill="1" applyBorder="1" applyAlignment="1">
      <alignment horizontal="center" vertical="center" wrapText="1"/>
    </xf>
    <xf numFmtId="0" fontId="4" fillId="4" borderId="26" xfId="1" quotePrefix="1" applyFont="1" applyFill="1" applyBorder="1" applyAlignment="1">
      <alignment horizontal="center" vertical="center" wrapText="1"/>
    </xf>
    <xf numFmtId="0" fontId="5" fillId="2" borderId="55" xfId="1" applyFont="1" applyFill="1" applyBorder="1" applyAlignment="1">
      <alignment vertical="center" wrapText="1"/>
    </xf>
    <xf numFmtId="0" fontId="5" fillId="2" borderId="16" xfId="1" applyFont="1" applyFill="1" applyBorder="1" applyAlignment="1">
      <alignment wrapText="1"/>
    </xf>
    <xf numFmtId="0" fontId="5" fillId="2" borderId="0" xfId="1" applyFont="1" applyFill="1" applyBorder="1" applyAlignment="1">
      <alignment wrapText="1"/>
    </xf>
    <xf numFmtId="0" fontId="7" fillId="2" borderId="0" xfId="1" applyFont="1" applyFill="1" applyBorder="1" applyAlignment="1">
      <alignment vertical="center"/>
    </xf>
    <xf numFmtId="0" fontId="8" fillId="2" borderId="0" xfId="1" applyFont="1" applyFill="1" applyBorder="1"/>
    <xf numFmtId="0" fontId="8" fillId="2" borderId="44" xfId="1" applyFont="1" applyFill="1" applyBorder="1"/>
    <xf numFmtId="0" fontId="4" fillId="4" borderId="54" xfId="1" quotePrefix="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23" xfId="1" applyFont="1" applyFill="1" applyBorder="1" applyAlignment="1">
      <alignment horizontal="center" vertical="center"/>
    </xf>
    <xf numFmtId="0" fontId="4" fillId="2" borderId="0" xfId="1" applyFont="1" applyFill="1" applyAlignment="1">
      <alignment horizontal="center"/>
    </xf>
    <xf numFmtId="0" fontId="5" fillId="2" borderId="55" xfId="1" applyFont="1" applyFill="1" applyBorder="1" applyAlignment="1">
      <alignment wrapText="1"/>
    </xf>
    <xf numFmtId="0" fontId="5" fillId="2" borderId="17" xfId="1" applyFont="1" applyFill="1" applyBorder="1" applyAlignment="1">
      <alignment wrapText="1"/>
    </xf>
    <xf numFmtId="0" fontId="5" fillId="2" borderId="19" xfId="1" applyFont="1" applyFill="1" applyBorder="1"/>
    <xf numFmtId="0" fontId="5" fillId="2" borderId="56" xfId="1" applyFont="1" applyFill="1" applyBorder="1" applyAlignment="1">
      <alignment wrapText="1"/>
    </xf>
    <xf numFmtId="0" fontId="5" fillId="2" borderId="57" xfId="1" applyFont="1" applyFill="1" applyBorder="1" applyAlignment="1">
      <alignment wrapText="1"/>
    </xf>
    <xf numFmtId="0" fontId="5" fillId="2" borderId="15" xfId="1" applyFont="1" applyFill="1" applyBorder="1" applyAlignment="1">
      <alignment wrapText="1"/>
    </xf>
    <xf numFmtId="0" fontId="4" fillId="2" borderId="0" xfId="1" quotePrefix="1" applyFont="1" applyFill="1" applyBorder="1" applyAlignment="1">
      <alignment horizontal="right" wrapText="1"/>
    </xf>
    <xf numFmtId="44" fontId="4" fillId="2" borderId="26" xfId="12" applyFont="1" applyFill="1" applyBorder="1" applyAlignment="1">
      <alignment wrapText="1"/>
    </xf>
    <xf numFmtId="44" fontId="4" fillId="2" borderId="27" xfId="12" applyFont="1" applyFill="1" applyBorder="1" applyAlignment="1">
      <alignment wrapText="1"/>
    </xf>
    <xf numFmtId="0" fontId="4" fillId="2" borderId="23" xfId="1" applyFont="1" applyFill="1" applyBorder="1"/>
    <xf numFmtId="44" fontId="4" fillId="2" borderId="0" xfId="12" applyFont="1" applyFill="1" applyBorder="1" applyAlignment="1">
      <alignment wrapText="1"/>
    </xf>
    <xf numFmtId="0" fontId="4" fillId="2" borderId="0" xfId="1" applyFont="1" applyFill="1" applyBorder="1"/>
    <xf numFmtId="0" fontId="7" fillId="2" borderId="0" xfId="1" applyFont="1" applyFill="1" applyAlignment="1">
      <alignment vertical="center"/>
    </xf>
    <xf numFmtId="164" fontId="6" fillId="6" borderId="0" xfId="11" applyNumberFormat="1" applyFont="1" applyFill="1"/>
    <xf numFmtId="9" fontId="6" fillId="6" borderId="0" xfId="23" applyFont="1" applyFill="1"/>
    <xf numFmtId="0" fontId="2" fillId="0" borderId="0" xfId="24"/>
    <xf numFmtId="0" fontId="4" fillId="0" borderId="46" xfId="1" applyFont="1" applyBorder="1" applyAlignment="1">
      <alignment horizontal="centerContinuous" vertical="center" wrapText="1"/>
    </xf>
    <xf numFmtId="0" fontId="4" fillId="0" borderId="47" xfId="1" applyFont="1" applyBorder="1" applyAlignment="1">
      <alignment horizontal="centerContinuous" vertical="center" wrapText="1"/>
    </xf>
    <xf numFmtId="0" fontId="2" fillId="0" borderId="64"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6" xfId="1" applyFont="1" applyBorder="1"/>
    <xf numFmtId="0" fontId="2" fillId="0" borderId="67" xfId="1" applyFont="1" applyBorder="1"/>
    <xf numFmtId="164" fontId="2" fillId="0" borderId="6" xfId="11" applyNumberFormat="1" applyFont="1" applyBorder="1"/>
    <xf numFmtId="9" fontId="2" fillId="0" borderId="61" xfId="23" applyFont="1" applyBorder="1"/>
    <xf numFmtId="164" fontId="2" fillId="0" borderId="61" xfId="11" applyNumberFormat="1" applyFont="1" applyBorder="1"/>
    <xf numFmtId="43" fontId="2" fillId="0" borderId="7" xfId="2" applyFont="1" applyBorder="1"/>
    <xf numFmtId="164" fontId="2" fillId="11" borderId="6" xfId="11" applyNumberFormat="1" applyFont="1" applyFill="1" applyBorder="1"/>
    <xf numFmtId="164" fontId="2" fillId="11" borderId="49" xfId="11" applyNumberFormat="1" applyFont="1" applyFill="1" applyBorder="1"/>
    <xf numFmtId="43" fontId="2" fillId="11" borderId="61" xfId="2" applyFont="1" applyFill="1" applyBorder="1"/>
    <xf numFmtId="0" fontId="2" fillId="11" borderId="7" xfId="1" applyFont="1" applyFill="1" applyBorder="1"/>
    <xf numFmtId="0" fontId="2" fillId="0" borderId="9" xfId="1" applyFont="1" applyBorder="1"/>
    <xf numFmtId="0" fontId="2" fillId="0" borderId="8" xfId="1" applyFont="1" applyBorder="1"/>
    <xf numFmtId="0" fontId="2" fillId="0" borderId="4" xfId="1" applyFont="1" applyBorder="1"/>
    <xf numFmtId="164" fontId="2" fillId="0" borderId="9" xfId="11" applyNumberFormat="1" applyFont="1" applyBorder="1"/>
    <xf numFmtId="9" fontId="2" fillId="0" borderId="5" xfId="23" applyFont="1" applyBorder="1"/>
    <xf numFmtId="164" fontId="2" fillId="0" borderId="5" xfId="11" applyNumberFormat="1" applyFont="1" applyBorder="1"/>
    <xf numFmtId="43" fontId="2" fillId="0" borderId="10" xfId="2" applyFont="1" applyBorder="1"/>
    <xf numFmtId="164" fontId="2" fillId="11" borderId="9" xfId="11" applyNumberFormat="1" applyFont="1" applyFill="1" applyBorder="1"/>
    <xf numFmtId="164" fontId="2" fillId="11" borderId="11" xfId="11" applyNumberFormat="1" applyFont="1" applyFill="1" applyBorder="1"/>
    <xf numFmtId="43" fontId="2" fillId="11" borderId="5" xfId="2" applyFont="1" applyFill="1" applyBorder="1"/>
    <xf numFmtId="0" fontId="2" fillId="11" borderId="10" xfId="1" applyFont="1" applyFill="1" applyBorder="1"/>
    <xf numFmtId="0" fontId="2" fillId="0" borderId="12" xfId="1" applyFont="1" applyBorder="1"/>
    <xf numFmtId="0" fontId="2" fillId="0" borderId="64" xfId="1" applyFont="1" applyBorder="1"/>
    <xf numFmtId="0" fontId="2" fillId="0" borderId="15" xfId="1" applyFont="1" applyBorder="1"/>
    <xf numFmtId="164" fontId="2" fillId="0" borderId="12" xfId="11" applyNumberFormat="1" applyFont="1" applyBorder="1"/>
    <xf numFmtId="9" fontId="2" fillId="0" borderId="20" xfId="23" applyFont="1" applyBorder="1"/>
    <xf numFmtId="164" fontId="2" fillId="0" borderId="20" xfId="11" applyNumberFormat="1" applyFont="1" applyBorder="1"/>
    <xf numFmtId="43" fontId="2" fillId="0" borderId="13" xfId="2" applyFont="1" applyBorder="1"/>
    <xf numFmtId="164" fontId="2" fillId="11" borderId="12" xfId="11" applyNumberFormat="1" applyFont="1" applyFill="1" applyBorder="1"/>
    <xf numFmtId="164" fontId="2" fillId="11" borderId="65" xfId="11" applyNumberFormat="1" applyFont="1" applyFill="1" applyBorder="1"/>
    <xf numFmtId="43" fontId="2" fillId="11" borderId="20" xfId="2" applyFont="1" applyFill="1" applyBorder="1"/>
    <xf numFmtId="0" fontId="2" fillId="11" borderId="13" xfId="1" applyFont="1" applyFill="1" applyBorder="1"/>
    <xf numFmtId="164" fontId="13" fillId="12" borderId="1" xfId="11" applyNumberFormat="1" applyFont="1" applyFill="1" applyBorder="1"/>
    <xf numFmtId="9" fontId="13" fillId="12" borderId="27" xfId="23" applyFont="1" applyFill="1" applyBorder="1"/>
    <xf numFmtId="164" fontId="13" fillId="12" borderId="2" xfId="11" applyNumberFormat="1" applyFont="1" applyFill="1" applyBorder="1"/>
    <xf numFmtId="164" fontId="13" fillId="12" borderId="26" xfId="11" applyNumberFormat="1" applyFont="1" applyFill="1" applyBorder="1"/>
    <xf numFmtId="0" fontId="2" fillId="0" borderId="0" xfId="1" applyFont="1"/>
    <xf numFmtId="43" fontId="2" fillId="6" borderId="0" xfId="2" applyFont="1" applyFill="1"/>
    <xf numFmtId="0" fontId="36" fillId="6" borderId="0" xfId="1" applyFont="1" applyFill="1"/>
    <xf numFmtId="164" fontId="2" fillId="6" borderId="0" xfId="11" applyNumberFormat="1" applyFont="1" applyFill="1"/>
    <xf numFmtId="9" fontId="2" fillId="6" borderId="0" xfId="23" applyFont="1" applyFill="1"/>
    <xf numFmtId="0" fontId="5" fillId="6" borderId="0" xfId="1" applyFont="1" applyFill="1" applyAlignment="1">
      <alignment vertical="center" wrapText="1"/>
    </xf>
    <xf numFmtId="0" fontId="2" fillId="6" borderId="0" xfId="1" applyFont="1" applyFill="1" applyAlignment="1">
      <alignment vertical="center" wrapText="1"/>
    </xf>
    <xf numFmtId="0" fontId="13" fillId="6" borderId="0" xfId="1" applyFont="1" applyFill="1" applyBorder="1" applyAlignment="1">
      <alignment horizontal="center" vertical="center"/>
    </xf>
    <xf numFmtId="164" fontId="2" fillId="0" borderId="7" xfId="11" applyNumberFormat="1" applyFont="1" applyBorder="1"/>
    <xf numFmtId="41" fontId="2" fillId="11" borderId="61" xfId="11" applyNumberFormat="1" applyFont="1" applyFill="1" applyBorder="1"/>
    <xf numFmtId="0" fontId="13" fillId="6" borderId="0" xfId="1" applyFont="1" applyFill="1" applyBorder="1" applyAlignment="1">
      <alignment horizontal="center" vertical="top"/>
    </xf>
    <xf numFmtId="164" fontId="2" fillId="0" borderId="10" xfId="11" applyNumberFormat="1" applyFont="1" applyBorder="1"/>
    <xf numFmtId="41" fontId="2" fillId="11" borderId="5" xfId="11" applyNumberFormat="1" applyFont="1" applyFill="1" applyBorder="1"/>
    <xf numFmtId="164" fontId="2" fillId="0" borderId="13" xfId="11" applyNumberFormat="1" applyFont="1" applyBorder="1"/>
    <xf numFmtId="41" fontId="2" fillId="11" borderId="20" xfId="11" applyNumberFormat="1" applyFont="1" applyFill="1" applyBorder="1"/>
    <xf numFmtId="164" fontId="13" fillId="12" borderId="23" xfId="11" applyNumberFormat="1" applyFont="1" applyFill="1" applyBorder="1"/>
    <xf numFmtId="41" fontId="13" fillId="12" borderId="23" xfId="11" applyNumberFormat="1" applyFont="1" applyFill="1" applyBorder="1"/>
    <xf numFmtId="0" fontId="2" fillId="6" borderId="0" xfId="1" applyFont="1" applyFill="1" applyAlignment="1">
      <alignment wrapText="1"/>
    </xf>
    <xf numFmtId="0" fontId="13" fillId="6" borderId="0" xfId="1" applyFont="1" applyFill="1" applyBorder="1" applyAlignment="1">
      <alignment horizontal="center"/>
    </xf>
    <xf numFmtId="164" fontId="2" fillId="11" borderId="61" xfId="11" applyNumberFormat="1" applyFont="1" applyFill="1" applyBorder="1"/>
    <xf numFmtId="164" fontId="2" fillId="11" borderId="5" xfId="11" applyNumberFormat="1" applyFont="1" applyFill="1" applyBorder="1"/>
    <xf numFmtId="164" fontId="2" fillId="11" borderId="20" xfId="11" applyNumberFormat="1" applyFont="1" applyFill="1" applyBorder="1"/>
    <xf numFmtId="0" fontId="37" fillId="6" borderId="0" xfId="1" applyFont="1" applyFill="1"/>
    <xf numFmtId="0" fontId="38" fillId="6" borderId="0" xfId="1" applyFont="1" applyFill="1"/>
    <xf numFmtId="164" fontId="38" fillId="6" borderId="0" xfId="11" applyNumberFormat="1" applyFont="1" applyFill="1"/>
    <xf numFmtId="9" fontId="38" fillId="6" borderId="0" xfId="23" applyFont="1" applyFill="1"/>
    <xf numFmtId="0" fontId="2" fillId="6" borderId="0" xfId="1" quotePrefix="1" applyFont="1" applyFill="1" applyAlignment="1">
      <alignment horizontal="left" indent="2"/>
    </xf>
    <xf numFmtId="0" fontId="2" fillId="6" borderId="0" xfId="1" quotePrefix="1" applyFont="1" applyFill="1"/>
    <xf numFmtId="0" fontId="2" fillId="6" borderId="0" xfId="1" quotePrefix="1" applyFont="1" applyFill="1" applyAlignment="1">
      <alignment horizontal="left" indent="4"/>
    </xf>
    <xf numFmtId="37" fontId="39" fillId="2" borderId="0" xfId="27" applyNumberFormat="1" applyFont="1" applyFill="1"/>
    <xf numFmtId="37" fontId="2" fillId="2" borderId="0" xfId="27" applyNumberFormat="1" applyFont="1" applyFill="1"/>
    <xf numFmtId="2" fontId="2" fillId="2" borderId="0" xfId="27" applyNumberFormat="1" applyFont="1" applyFill="1"/>
    <xf numFmtId="37" fontId="13" fillId="2" borderId="0" xfId="27" applyNumberFormat="1" applyFont="1" applyFill="1"/>
    <xf numFmtId="37" fontId="2" fillId="2" borderId="0" xfId="1" applyNumberFormat="1" applyFont="1" applyFill="1"/>
    <xf numFmtId="37" fontId="0" fillId="0" borderId="0" xfId="1" applyNumberFormat="1" applyFont="1" applyFill="1"/>
    <xf numFmtId="37" fontId="40" fillId="2" borderId="0" xfId="1" applyNumberFormat="1" applyFont="1" applyFill="1" applyBorder="1"/>
    <xf numFmtId="37" fontId="2" fillId="2" borderId="0" xfId="1" applyNumberFormat="1" applyFont="1" applyFill="1" applyBorder="1" applyAlignment="1" applyProtection="1">
      <alignment horizontal="left"/>
    </xf>
    <xf numFmtId="37" fontId="42" fillId="2" borderId="0" xfId="1" applyNumberFormat="1" applyFont="1" applyFill="1" applyBorder="1"/>
    <xf numFmtId="37" fontId="2" fillId="2" borderId="0" xfId="1" applyNumberFormat="1" applyFont="1" applyFill="1" applyProtection="1"/>
    <xf numFmtId="37" fontId="42" fillId="2" borderId="0" xfId="16" applyNumberFormat="1" applyFont="1" applyFill="1"/>
    <xf numFmtId="37" fontId="42" fillId="2" borderId="0" xfId="16" applyNumberFormat="1" applyFont="1" applyFill="1" applyBorder="1"/>
    <xf numFmtId="37" fontId="40" fillId="2" borderId="2" xfId="16" applyNumberFormat="1" applyFont="1" applyFill="1" applyBorder="1"/>
    <xf numFmtId="37" fontId="40" fillId="2" borderId="3" xfId="16" applyNumberFormat="1" applyFont="1" applyFill="1" applyBorder="1"/>
    <xf numFmtId="37" fontId="39" fillId="2" borderId="0" xfId="1" applyNumberFormat="1" applyFont="1" applyFill="1"/>
    <xf numFmtId="37" fontId="3" fillId="2" borderId="0" xfId="1" applyNumberFormat="1" applyFont="1" applyFill="1"/>
    <xf numFmtId="2" fontId="3" fillId="2" borderId="0" xfId="28" applyNumberFormat="1" applyFont="1" applyFill="1"/>
    <xf numFmtId="37" fontId="3" fillId="2" borderId="0" xfId="28" applyNumberFormat="1" applyFont="1" applyFill="1"/>
    <xf numFmtId="37" fontId="2" fillId="2" borderId="0" xfId="28" applyNumberFormat="1" applyFont="1" applyFill="1"/>
    <xf numFmtId="37" fontId="2" fillId="2" borderId="0" xfId="1" applyNumberFormat="1" applyFill="1"/>
    <xf numFmtId="2" fontId="2" fillId="2" borderId="0" xfId="28" applyNumberFormat="1" applyFont="1" applyFill="1"/>
    <xf numFmtId="37" fontId="2" fillId="13" borderId="0" xfId="1" applyNumberFormat="1" applyFill="1"/>
    <xf numFmtId="37" fontId="2" fillId="2" borderId="0" xfId="28" applyNumberFormat="1" applyFont="1" applyFill="1" applyAlignment="1" applyProtection="1">
      <alignment horizontal="left"/>
    </xf>
    <xf numFmtId="37" fontId="7" fillId="2" borderId="0" xfId="28" applyNumberFormat="1" applyFont="1" applyFill="1"/>
    <xf numFmtId="37" fontId="13" fillId="2" borderId="0" xfId="28" applyNumberFormat="1" applyFont="1" applyFill="1"/>
    <xf numFmtId="37" fontId="13" fillId="2" borderId="0" xfId="28" applyNumberFormat="1" applyFont="1" applyFill="1" applyAlignment="1"/>
    <xf numFmtId="10" fontId="2" fillId="2" borderId="0" xfId="20" applyNumberFormat="1" applyFont="1" applyFill="1"/>
    <xf numFmtId="37" fontId="13" fillId="2" borderId="41" xfId="1" applyNumberFormat="1" applyFont="1" applyFill="1" applyBorder="1" applyAlignment="1" applyProtection="1">
      <alignment horizontal="left"/>
    </xf>
    <xf numFmtId="37" fontId="42" fillId="13" borderId="4" xfId="1" applyNumberFormat="1" applyFont="1" applyFill="1" applyBorder="1" applyAlignment="1" applyProtection="1">
      <alignment horizontal="left"/>
    </xf>
    <xf numFmtId="37" fontId="42" fillId="13" borderId="4" xfId="1" applyNumberFormat="1" applyFont="1" applyFill="1" applyBorder="1" applyAlignment="1" applyProtection="1">
      <alignment horizontal="center"/>
    </xf>
    <xf numFmtId="2" fontId="42" fillId="13" borderId="4" xfId="1" applyNumberFormat="1" applyFont="1" applyFill="1" applyBorder="1" applyAlignment="1" applyProtection="1">
      <alignment horizontal="center" wrapText="1"/>
    </xf>
    <xf numFmtId="37" fontId="42" fillId="13" borderId="4" xfId="1" applyNumberFormat="1" applyFont="1" applyFill="1" applyBorder="1" applyAlignment="1" applyProtection="1">
      <alignment horizontal="centerContinuous"/>
    </xf>
    <xf numFmtId="37" fontId="42" fillId="2" borderId="4" xfId="1" applyNumberFormat="1" applyFont="1" applyFill="1" applyBorder="1" applyAlignment="1" applyProtection="1">
      <alignment horizontal="center"/>
    </xf>
    <xf numFmtId="37" fontId="42" fillId="2" borderId="8" xfId="1" applyNumberFormat="1" applyFont="1" applyFill="1" applyBorder="1" applyAlignment="1" applyProtection="1">
      <alignment horizontal="center"/>
    </xf>
    <xf numFmtId="37" fontId="42" fillId="2" borderId="69" xfId="1" applyNumberFormat="1" applyFont="1" applyFill="1" applyBorder="1" applyAlignment="1" applyProtection="1">
      <alignment horizontal="center"/>
    </xf>
    <xf numFmtId="37" fontId="42" fillId="2" borderId="5" xfId="1" applyNumberFormat="1" applyFont="1" applyFill="1" applyBorder="1" applyAlignment="1" applyProtection="1">
      <alignment horizontal="center" wrapText="1"/>
    </xf>
    <xf numFmtId="37" fontId="2" fillId="2" borderId="5" xfId="28" applyNumberFormat="1" applyFont="1" applyFill="1" applyBorder="1" applyAlignment="1">
      <alignment horizontal="center" wrapText="1"/>
    </xf>
    <xf numFmtId="37" fontId="2" fillId="2" borderId="11" xfId="28" applyNumberFormat="1" applyFont="1" applyFill="1" applyBorder="1" applyAlignment="1">
      <alignment horizontal="center" wrapText="1"/>
    </xf>
    <xf numFmtId="37" fontId="2" fillId="2" borderId="8" xfId="28" applyNumberFormat="1" applyFont="1" applyFill="1" applyBorder="1" applyAlignment="1">
      <alignment horizontal="center" wrapText="1"/>
    </xf>
    <xf numFmtId="170" fontId="42" fillId="13" borderId="71" xfId="1" applyNumberFormat="1" applyFont="1" applyFill="1" applyBorder="1"/>
    <xf numFmtId="164" fontId="2" fillId="13" borderId="71" xfId="8" applyNumberFormat="1" applyFont="1" applyFill="1" applyBorder="1" applyProtection="1"/>
    <xf numFmtId="164" fontId="2" fillId="2" borderId="71" xfId="8" applyNumberFormat="1" applyFont="1" applyFill="1" applyBorder="1" applyProtection="1"/>
    <xf numFmtId="164" fontId="2" fillId="2" borderId="72" xfId="8" applyNumberFormat="1" applyFont="1" applyFill="1" applyBorder="1" applyProtection="1"/>
    <xf numFmtId="164" fontId="2" fillId="2" borderId="0" xfId="8" applyNumberFormat="1" applyFont="1" applyFill="1" applyProtection="1"/>
    <xf numFmtId="0" fontId="2" fillId="2" borderId="70" xfId="8" applyNumberFormat="1" applyFont="1" applyFill="1" applyBorder="1" applyAlignment="1" applyProtection="1">
      <alignment horizontal="center"/>
    </xf>
    <xf numFmtId="37" fontId="2" fillId="2" borderId="73" xfId="28" applyNumberFormat="1" applyFont="1" applyFill="1" applyBorder="1" applyAlignment="1">
      <alignment horizontal="center"/>
    </xf>
    <xf numFmtId="37" fontId="2" fillId="2" borderId="0" xfId="28" applyNumberFormat="1" applyFont="1" applyFill="1" applyBorder="1"/>
    <xf numFmtId="10" fontId="2" fillId="2" borderId="0" xfId="28" applyNumberFormat="1" applyFont="1" applyFill="1" applyBorder="1"/>
    <xf numFmtId="37" fontId="2" fillId="2" borderId="69" xfId="28" applyNumberFormat="1" applyFont="1" applyFill="1" applyBorder="1"/>
    <xf numFmtId="37" fontId="45" fillId="2" borderId="0" xfId="28" applyNumberFormat="1" applyFont="1" applyFill="1"/>
    <xf numFmtId="37" fontId="2" fillId="13" borderId="73" xfId="1" applyNumberFormat="1" applyFont="1" applyFill="1" applyBorder="1" applyAlignment="1" applyProtection="1">
      <alignment horizontal="left"/>
    </xf>
    <xf numFmtId="49" fontId="42" fillId="13" borderId="0" xfId="1" quotePrefix="1" applyNumberFormat="1" applyFont="1" applyFill="1" applyBorder="1" applyAlignment="1">
      <alignment horizontal="center"/>
    </xf>
    <xf numFmtId="170" fontId="42" fillId="13" borderId="0" xfId="1" applyNumberFormat="1" applyFont="1" applyFill="1" applyBorder="1"/>
    <xf numFmtId="37" fontId="42" fillId="13" borderId="0" xfId="1" applyNumberFormat="1" applyFont="1" applyFill="1" applyBorder="1"/>
    <xf numFmtId="37" fontId="2" fillId="2" borderId="0" xfId="1" applyNumberFormat="1" applyFont="1" applyFill="1" applyBorder="1" applyProtection="1"/>
    <xf numFmtId="37" fontId="2" fillId="2" borderId="69" xfId="1" applyNumberFormat="1" applyFont="1" applyFill="1" applyBorder="1" applyProtection="1"/>
    <xf numFmtId="0" fontId="2" fillId="2" borderId="73" xfId="1" applyNumberFormat="1" applyFont="1" applyFill="1" applyBorder="1" applyAlignment="1" applyProtection="1">
      <alignment horizontal="center"/>
    </xf>
    <xf numFmtId="49" fontId="42" fillId="13" borderId="0" xfId="1" applyNumberFormat="1" applyFont="1" applyFill="1" applyBorder="1" applyAlignment="1">
      <alignment horizontal="center"/>
    </xf>
    <xf numFmtId="37" fontId="2" fillId="0" borderId="73" xfId="1" applyNumberFormat="1" applyFont="1" applyFill="1" applyBorder="1" applyAlignment="1" applyProtection="1">
      <alignment horizontal="left"/>
    </xf>
    <xf numFmtId="0" fontId="42" fillId="0" borderId="0" xfId="1" quotePrefix="1" applyNumberFormat="1" applyFont="1" applyFill="1" applyBorder="1" applyAlignment="1">
      <alignment horizontal="center"/>
    </xf>
    <xf numFmtId="169" fontId="42" fillId="0" borderId="0" xfId="1" applyNumberFormat="1" applyFont="1" applyFill="1" applyBorder="1"/>
    <xf numFmtId="37" fontId="42" fillId="0" borderId="0" xfId="1" applyNumberFormat="1" applyFont="1" applyFill="1" applyBorder="1"/>
    <xf numFmtId="37" fontId="2" fillId="2" borderId="28" xfId="28" applyNumberFormat="1" applyFont="1" applyFill="1" applyBorder="1"/>
    <xf numFmtId="37" fontId="2" fillId="2" borderId="73" xfId="28" applyNumberFormat="1" applyFont="1" applyFill="1" applyBorder="1"/>
    <xf numFmtId="37" fontId="42" fillId="13" borderId="0" xfId="1" quotePrefix="1" applyNumberFormat="1" applyFont="1" applyFill="1" applyBorder="1" applyAlignment="1">
      <alignment horizontal="center"/>
    </xf>
    <xf numFmtId="169" fontId="42" fillId="13" borderId="0" xfId="1" applyNumberFormat="1" applyFont="1" applyFill="1" applyBorder="1"/>
    <xf numFmtId="37" fontId="2" fillId="13" borderId="0" xfId="1" applyNumberFormat="1" applyFont="1" applyFill="1" applyBorder="1" applyProtection="1"/>
    <xf numFmtId="37" fontId="2" fillId="13" borderId="69" xfId="1" applyNumberFormat="1" applyFont="1" applyFill="1" applyBorder="1" applyProtection="1"/>
    <xf numFmtId="37" fontId="2" fillId="2" borderId="28" xfId="28" applyNumberFormat="1" applyFont="1" applyFill="1" applyBorder="1" applyAlignment="1">
      <alignment horizontal="center"/>
    </xf>
    <xf numFmtId="37" fontId="2" fillId="2" borderId="0" xfId="28" applyNumberFormat="1" applyFont="1" applyFill="1" applyBorder="1" applyAlignment="1">
      <alignment horizontal="right"/>
    </xf>
    <xf numFmtId="0" fontId="2" fillId="2" borderId="69" xfId="28" applyNumberFormat="1" applyFont="1" applyFill="1" applyBorder="1" applyAlignment="1">
      <alignment horizontal="right"/>
    </xf>
    <xf numFmtId="37" fontId="2" fillId="2" borderId="69" xfId="28" applyNumberFormat="1" applyFont="1" applyFill="1" applyBorder="1" applyAlignment="1">
      <alignment horizontal="right"/>
    </xf>
    <xf numFmtId="37" fontId="2" fillId="2" borderId="17" xfId="28" applyNumberFormat="1" applyFont="1" applyFill="1" applyBorder="1"/>
    <xf numFmtId="37" fontId="2" fillId="2" borderId="18" xfId="28" applyNumberFormat="1" applyFont="1" applyFill="1" applyBorder="1"/>
    <xf numFmtId="37" fontId="2" fillId="2" borderId="41" xfId="28" applyNumberFormat="1" applyFont="1" applyFill="1" applyBorder="1" applyAlignment="1">
      <alignment horizontal="right"/>
    </xf>
    <xf numFmtId="10" fontId="2" fillId="2" borderId="41" xfId="28" applyNumberFormat="1" applyFont="1" applyFill="1" applyBorder="1"/>
    <xf numFmtId="37" fontId="2" fillId="2" borderId="17" xfId="1" applyNumberFormat="1" applyFont="1" applyFill="1" applyBorder="1" applyAlignment="1">
      <alignment horizontal="right"/>
    </xf>
    <xf numFmtId="37" fontId="2" fillId="2" borderId="17" xfId="1" applyNumberFormat="1" applyFill="1" applyBorder="1"/>
    <xf numFmtId="169" fontId="42" fillId="2" borderId="4" xfId="1" applyNumberFormat="1" applyFont="1" applyFill="1" applyBorder="1" applyProtection="1"/>
    <xf numFmtId="37" fontId="2" fillId="2" borderId="18" xfId="1" applyNumberFormat="1" applyFont="1" applyFill="1" applyBorder="1" applyAlignment="1" applyProtection="1">
      <alignment horizontal="left"/>
    </xf>
    <xf numFmtId="37" fontId="2" fillId="2" borderId="52" xfId="1" applyNumberFormat="1" applyFont="1" applyFill="1" applyBorder="1"/>
    <xf numFmtId="37" fontId="42" fillId="2" borderId="4" xfId="1" applyNumberFormat="1" applyFont="1" applyFill="1" applyBorder="1" applyProtection="1"/>
    <xf numFmtId="37" fontId="42" fillId="2" borderId="8" xfId="1" applyNumberFormat="1" applyFont="1" applyFill="1" applyBorder="1" applyProtection="1"/>
    <xf numFmtId="37" fontId="42" fillId="2" borderId="0" xfId="1" applyNumberFormat="1" applyFont="1" applyFill="1" applyBorder="1" applyProtection="1"/>
    <xf numFmtId="37" fontId="2" fillId="2" borderId="41" xfId="28" applyNumberFormat="1" applyFont="1" applyFill="1" applyBorder="1"/>
    <xf numFmtId="37" fontId="42" fillId="2" borderId="11" xfId="1" applyNumberFormat="1" applyFont="1" applyFill="1" applyBorder="1" applyProtection="1"/>
    <xf numFmtId="2" fontId="2" fillId="2" borderId="0" xfId="1" applyNumberFormat="1" applyFill="1"/>
    <xf numFmtId="37" fontId="2" fillId="2" borderId="0" xfId="28" applyNumberFormat="1" applyFill="1"/>
    <xf numFmtId="37" fontId="2" fillId="2" borderId="0" xfId="1" applyNumberFormat="1" applyFont="1" applyFill="1" applyAlignment="1" applyProtection="1">
      <alignment horizontal="left"/>
    </xf>
    <xf numFmtId="2" fontId="2" fillId="2" borderId="0" xfId="1" applyNumberFormat="1" applyFont="1" applyFill="1" applyAlignment="1" applyProtection="1">
      <alignment horizontal="left"/>
    </xf>
    <xf numFmtId="37" fontId="42" fillId="13" borderId="71" xfId="1" applyNumberFormat="1" applyFont="1" applyFill="1" applyBorder="1" applyAlignment="1" applyProtection="1"/>
    <xf numFmtId="37" fontId="2" fillId="13" borderId="0" xfId="1" applyNumberFormat="1" applyFont="1" applyFill="1"/>
    <xf numFmtId="2" fontId="2" fillId="13" borderId="0" xfId="1" applyNumberFormat="1" applyFont="1" applyFill="1" applyAlignment="1" applyProtection="1">
      <alignment horizontal="left"/>
    </xf>
    <xf numFmtId="37" fontId="2" fillId="13" borderId="0" xfId="1" applyNumberFormat="1" applyFont="1" applyFill="1" applyAlignment="1" applyProtection="1">
      <alignment horizontal="left"/>
    </xf>
    <xf numFmtId="37" fontId="2" fillId="13" borderId="0" xfId="1" applyNumberFormat="1" applyFont="1" applyFill="1" applyProtection="1"/>
    <xf numFmtId="37" fontId="2" fillId="13" borderId="0" xfId="1" applyNumberFormat="1" applyFont="1" applyFill="1" applyAlignment="1" applyProtection="1">
      <alignment horizontal="right"/>
    </xf>
    <xf numFmtId="2" fontId="2" fillId="13" borderId="0" xfId="1" applyNumberFormat="1" applyFont="1" applyFill="1"/>
    <xf numFmtId="37" fontId="42" fillId="13" borderId="71" xfId="1" applyNumberFormat="1" applyFont="1" applyFill="1" applyBorder="1" applyProtection="1"/>
    <xf numFmtId="2" fontId="2" fillId="2" borderId="0" xfId="1" applyNumberFormat="1" applyFont="1" applyFill="1"/>
    <xf numFmtId="37" fontId="34" fillId="13" borderId="0" xfId="1" applyNumberFormat="1" applyFont="1" applyFill="1"/>
    <xf numFmtId="2" fontId="2" fillId="13" borderId="0" xfId="1" applyNumberFormat="1" applyFill="1"/>
    <xf numFmtId="37" fontId="2" fillId="13" borderId="0" xfId="1" applyNumberFormat="1" applyFill="1" applyBorder="1"/>
    <xf numFmtId="37" fontId="2" fillId="13" borderId="41" xfId="1" applyNumberFormat="1" applyFill="1" applyBorder="1"/>
    <xf numFmtId="37" fontId="2" fillId="13" borderId="0" xfId="1" applyNumberFormat="1" applyFont="1" applyFill="1" applyAlignment="1">
      <alignment horizontal="right"/>
    </xf>
    <xf numFmtId="37" fontId="2" fillId="13" borderId="71" xfId="1" applyNumberFormat="1" applyFont="1" applyFill="1" applyBorder="1"/>
    <xf numFmtId="37" fontId="2" fillId="2" borderId="0" xfId="1" applyNumberFormat="1" applyFont="1" applyFill="1" applyBorder="1"/>
    <xf numFmtId="37" fontId="13" fillId="2" borderId="0" xfId="1" applyNumberFormat="1" applyFont="1" applyFill="1" applyAlignment="1"/>
    <xf numFmtId="37" fontId="2" fillId="2" borderId="71" xfId="1" applyNumberFormat="1" applyFont="1" applyFill="1" applyBorder="1"/>
    <xf numFmtId="37" fontId="2" fillId="0" borderId="0" xfId="1" applyNumberFormat="1" applyFill="1"/>
    <xf numFmtId="37" fontId="2" fillId="0" borderId="41" xfId="1" applyNumberFormat="1" applyFill="1" applyBorder="1"/>
    <xf numFmtId="37" fontId="2" fillId="2" borderId="0" xfId="1" applyNumberFormat="1" applyFill="1" applyBorder="1"/>
    <xf numFmtId="37" fontId="42" fillId="2" borderId="71" xfId="1" applyNumberFormat="1" applyFont="1" applyFill="1" applyBorder="1"/>
    <xf numFmtId="37" fontId="13" fillId="2" borderId="0" xfId="1" applyNumberFormat="1" applyFont="1" applyFill="1" applyAlignment="1" applyProtection="1">
      <alignment horizontal="left"/>
    </xf>
    <xf numFmtId="164" fontId="2" fillId="2" borderId="68" xfId="8" applyNumberFormat="1" applyFont="1" applyFill="1" applyBorder="1" applyProtection="1"/>
    <xf numFmtId="164" fontId="2" fillId="2" borderId="0" xfId="8" applyNumberFormat="1" applyFont="1" applyFill="1" applyBorder="1" applyProtection="1"/>
    <xf numFmtId="37" fontId="13" fillId="2" borderId="0" xfId="1" applyNumberFormat="1" applyFont="1" applyFill="1" applyAlignment="1" applyProtection="1">
      <alignment horizontal="right"/>
    </xf>
    <xf numFmtId="9" fontId="2" fillId="2" borderId="0" xfId="20" applyNumberFormat="1" applyFont="1" applyFill="1" applyBorder="1" applyProtection="1"/>
    <xf numFmtId="9" fontId="2" fillId="2" borderId="0" xfId="20" applyFont="1" applyFill="1" applyBorder="1" applyProtection="1"/>
    <xf numFmtId="37" fontId="42" fillId="2" borderId="0" xfId="28" applyNumberFormat="1" applyFont="1" applyFill="1" applyBorder="1"/>
    <xf numFmtId="37" fontId="47" fillId="2" borderId="0" xfId="28" applyNumberFormat="1" applyFont="1" applyFill="1" applyAlignment="1" applyProtection="1"/>
    <xf numFmtId="2" fontId="2" fillId="2" borderId="0" xfId="28" applyNumberFormat="1" applyFont="1" applyFill="1" applyAlignment="1" applyProtection="1">
      <alignment horizontal="left"/>
    </xf>
    <xf numFmtId="171" fontId="2" fillId="2" borderId="0" xfId="16" applyNumberFormat="1" applyFont="1" applyFill="1" applyBorder="1"/>
    <xf numFmtId="171" fontId="2" fillId="13" borderId="0" xfId="16" applyNumberFormat="1" applyFont="1" applyFill="1" applyBorder="1"/>
    <xf numFmtId="0" fontId="50" fillId="2" borderId="0" xfId="15" applyFont="1" applyFill="1"/>
    <xf numFmtId="37" fontId="7" fillId="2" borderId="0" xfId="1" applyNumberFormat="1" applyFont="1" applyFill="1"/>
    <xf numFmtId="37" fontId="37" fillId="2" borderId="0" xfId="1" applyNumberFormat="1" applyFont="1" applyFill="1"/>
    <xf numFmtId="37" fontId="9" fillId="2" borderId="0" xfId="1" applyNumberFormat="1" applyFont="1" applyFill="1"/>
    <xf numFmtId="0" fontId="51" fillId="2" borderId="0" xfId="15" applyFont="1" applyFill="1"/>
    <xf numFmtId="171" fontId="2" fillId="2" borderId="0" xfId="15" applyNumberFormat="1" applyFont="1" applyFill="1" applyBorder="1"/>
    <xf numFmtId="37" fontId="2" fillId="13" borderId="4" xfId="27" applyNumberFormat="1" applyFont="1" applyFill="1" applyBorder="1"/>
    <xf numFmtId="37" fontId="13" fillId="2" borderId="0" xfId="27" applyNumberFormat="1" applyFont="1" applyFill="1" applyBorder="1" applyAlignment="1">
      <alignment horizontal="left" vertical="center"/>
    </xf>
    <xf numFmtId="37" fontId="2" fillId="2" borderId="0" xfId="27" applyNumberFormat="1" applyFont="1" applyFill="1" applyBorder="1"/>
    <xf numFmtId="0" fontId="52" fillId="2" borderId="0" xfId="15" applyFont="1" applyFill="1"/>
    <xf numFmtId="37" fontId="42" fillId="13" borderId="5" xfId="1" applyNumberFormat="1" applyFont="1" applyFill="1" applyBorder="1"/>
    <xf numFmtId="37" fontId="42" fillId="13" borderId="11" xfId="1" applyNumberFormat="1" applyFont="1" applyFill="1" applyBorder="1" applyAlignment="1">
      <alignment horizontal="center" wrapText="1"/>
    </xf>
    <xf numFmtId="37" fontId="2" fillId="2" borderId="11" xfId="27" applyNumberFormat="1" applyFont="1" applyFill="1" applyBorder="1"/>
    <xf numFmtId="37" fontId="2" fillId="2" borderId="8" xfId="27" applyNumberFormat="1" applyFont="1" applyFill="1" applyBorder="1"/>
    <xf numFmtId="37" fontId="2" fillId="2" borderId="0" xfId="27" applyNumberFormat="1" applyFont="1" applyFill="1" applyBorder="1" applyAlignment="1">
      <alignment horizontal="right"/>
    </xf>
    <xf numFmtId="49" fontId="2" fillId="2" borderId="18" xfId="27" applyNumberFormat="1" applyFont="1" applyFill="1" applyBorder="1" applyAlignment="1">
      <alignment horizontal="center"/>
    </xf>
    <xf numFmtId="37" fontId="2" fillId="2" borderId="4" xfId="27" applyNumberFormat="1" applyFont="1" applyFill="1" applyBorder="1"/>
    <xf numFmtId="10" fontId="2" fillId="2" borderId="4" xfId="27" applyNumberFormat="1" applyFont="1" applyFill="1" applyBorder="1" applyAlignment="1">
      <alignment horizontal="center"/>
    </xf>
    <xf numFmtId="0" fontId="50" fillId="2" borderId="0" xfId="15" applyFont="1" applyFill="1" applyBorder="1"/>
    <xf numFmtId="37" fontId="13" fillId="13" borderId="0" xfId="1" applyNumberFormat="1" applyFont="1" applyFill="1"/>
    <xf numFmtId="37" fontId="34" fillId="0" borderId="0" xfId="27" quotePrefix="1" applyNumberFormat="1" applyFont="1" applyFill="1"/>
    <xf numFmtId="37" fontId="2" fillId="2" borderId="0" xfId="27" applyNumberFormat="1" applyFont="1" applyFill="1" applyAlignment="1" applyProtection="1">
      <alignment horizontal="left"/>
    </xf>
    <xf numFmtId="37" fontId="7" fillId="2" borderId="0" xfId="27" applyNumberFormat="1" applyFont="1" applyFill="1"/>
    <xf numFmtId="37" fontId="13" fillId="2" borderId="0" xfId="27" applyNumberFormat="1" applyFont="1" applyFill="1" applyAlignment="1"/>
    <xf numFmtId="37" fontId="42" fillId="2" borderId="4" xfId="1" applyNumberFormat="1" applyFont="1" applyFill="1" applyBorder="1" applyAlignment="1" applyProtection="1">
      <alignment horizontal="left"/>
    </xf>
    <xf numFmtId="2" fontId="42" fillId="2" borderId="4" xfId="1" applyNumberFormat="1" applyFont="1" applyFill="1" applyBorder="1" applyAlignment="1" applyProtection="1">
      <alignment horizontal="center" wrapText="1"/>
    </xf>
    <xf numFmtId="37" fontId="42" fillId="2" borderId="4" xfId="1" applyNumberFormat="1" applyFont="1" applyFill="1" applyBorder="1" applyAlignment="1" applyProtection="1">
      <alignment horizontal="centerContinuous"/>
    </xf>
    <xf numFmtId="37" fontId="2" fillId="2" borderId="5" xfId="27" applyNumberFormat="1" applyFont="1" applyFill="1" applyBorder="1" applyAlignment="1">
      <alignment horizontal="center" wrapText="1"/>
    </xf>
    <xf numFmtId="37" fontId="2" fillId="2" borderId="11" xfId="27" applyNumberFormat="1" applyFont="1" applyFill="1" applyBorder="1" applyAlignment="1">
      <alignment horizontal="center" wrapText="1"/>
    </xf>
    <xf numFmtId="37" fontId="2" fillId="2" borderId="8" xfId="27" applyNumberFormat="1" applyFont="1" applyFill="1" applyBorder="1" applyAlignment="1">
      <alignment horizontal="center" wrapText="1"/>
    </xf>
    <xf numFmtId="0" fontId="2" fillId="13" borderId="0" xfId="8" applyNumberFormat="1" applyFont="1" applyFill="1" applyProtection="1"/>
    <xf numFmtId="172" fontId="42" fillId="13" borderId="0" xfId="7" applyNumberFormat="1" applyFont="1" applyFill="1"/>
    <xf numFmtId="170" fontId="42" fillId="13" borderId="0" xfId="7" applyNumberFormat="1" applyFont="1" applyFill="1"/>
    <xf numFmtId="37" fontId="42" fillId="13" borderId="0" xfId="7" applyNumberFormat="1" applyFont="1" applyFill="1"/>
    <xf numFmtId="164" fontId="2" fillId="13" borderId="0" xfId="8" applyNumberFormat="1" applyFont="1" applyFill="1" applyProtection="1"/>
    <xf numFmtId="37" fontId="2" fillId="2" borderId="70" xfId="8" applyNumberFormat="1" applyFont="1" applyFill="1" applyBorder="1" applyAlignment="1" applyProtection="1">
      <alignment horizontal="center"/>
    </xf>
    <xf numFmtId="10" fontId="2" fillId="2" borderId="0" xfId="27" applyNumberFormat="1" applyFont="1" applyFill="1" applyBorder="1"/>
    <xf numFmtId="37" fontId="2" fillId="2" borderId="69" xfId="27" applyNumberFormat="1" applyFont="1" applyFill="1" applyBorder="1"/>
    <xf numFmtId="37" fontId="45" fillId="2" borderId="0" xfId="27" applyNumberFormat="1" applyFont="1" applyFill="1"/>
    <xf numFmtId="0" fontId="2" fillId="13" borderId="0" xfId="1" applyNumberFormat="1" applyFont="1" applyFill="1" applyProtection="1"/>
    <xf numFmtId="172" fontId="2" fillId="13" borderId="0" xfId="1" applyNumberFormat="1" applyFont="1" applyFill="1" applyProtection="1"/>
    <xf numFmtId="170" fontId="2" fillId="13" borderId="0" xfId="1" applyNumberFormat="1" applyFont="1" applyFill="1" applyProtection="1"/>
    <xf numFmtId="37" fontId="2" fillId="2" borderId="73" xfId="1" applyNumberFormat="1" applyFont="1" applyFill="1" applyBorder="1" applyAlignment="1" applyProtection="1">
      <alignment horizontal="center"/>
    </xf>
    <xf numFmtId="172" fontId="42" fillId="13" borderId="0" xfId="1" applyNumberFormat="1" applyFont="1" applyFill="1" applyBorder="1"/>
    <xf numFmtId="0" fontId="42" fillId="2" borderId="0" xfId="1" quotePrefix="1" applyNumberFormat="1" applyFont="1" applyFill="1" applyBorder="1" applyAlignment="1">
      <alignment horizontal="center"/>
    </xf>
    <xf numFmtId="169" fontId="42" fillId="2" borderId="0" xfId="1" applyNumberFormat="1" applyFont="1" applyFill="1" applyBorder="1"/>
    <xf numFmtId="37" fontId="2" fillId="2" borderId="28" xfId="27" applyNumberFormat="1" applyFont="1" applyFill="1" applyBorder="1"/>
    <xf numFmtId="37" fontId="2" fillId="2" borderId="73" xfId="27" applyNumberFormat="1" applyFont="1" applyFill="1" applyBorder="1"/>
    <xf numFmtId="37" fontId="2" fillId="13" borderId="0" xfId="1" applyNumberFormat="1" applyFont="1" applyFill="1" applyBorder="1" applyAlignment="1" applyProtection="1">
      <alignment horizontal="left"/>
    </xf>
    <xf numFmtId="37" fontId="2" fillId="2" borderId="28" xfId="27" applyNumberFormat="1" applyFont="1" applyFill="1" applyBorder="1" applyAlignment="1">
      <alignment horizontal="center"/>
    </xf>
    <xf numFmtId="37" fontId="2" fillId="2" borderId="0" xfId="27" applyNumberFormat="1" applyFont="1" applyFill="1" applyBorder="1" applyAlignment="1">
      <alignment horizontal="center"/>
    </xf>
    <xf numFmtId="0" fontId="2" fillId="2" borderId="69" xfId="27" applyNumberFormat="1" applyFont="1" applyFill="1" applyBorder="1" applyAlignment="1">
      <alignment horizontal="center"/>
    </xf>
    <xf numFmtId="37" fontId="2" fillId="2" borderId="69" xfId="27" applyNumberFormat="1" applyFont="1" applyFill="1" applyBorder="1" applyAlignment="1">
      <alignment horizontal="center"/>
    </xf>
    <xf numFmtId="37" fontId="2" fillId="2" borderId="0" xfId="1" applyNumberFormat="1" applyFont="1" applyFill="1" applyAlignment="1">
      <alignment horizontal="right"/>
    </xf>
    <xf numFmtId="169" fontId="42" fillId="2" borderId="71" xfId="1" applyNumberFormat="1" applyFont="1" applyFill="1" applyBorder="1" applyProtection="1"/>
    <xf numFmtId="37" fontId="42" fillId="2" borderId="71" xfId="1" applyNumberFormat="1" applyFont="1" applyFill="1" applyBorder="1" applyProtection="1"/>
    <xf numFmtId="37" fontId="2" fillId="2" borderId="17" xfId="27" applyNumberFormat="1" applyFont="1" applyFill="1" applyBorder="1"/>
    <xf numFmtId="37" fontId="2" fillId="2" borderId="18" xfId="27" applyNumberFormat="1" applyFont="1" applyFill="1" applyBorder="1"/>
    <xf numFmtId="37" fontId="2" fillId="2" borderId="41" xfId="27" applyNumberFormat="1" applyFont="1" applyFill="1" applyBorder="1"/>
    <xf numFmtId="37" fontId="2" fillId="2" borderId="0" xfId="27" applyNumberFormat="1" applyFill="1"/>
    <xf numFmtId="37" fontId="2" fillId="2" borderId="0" xfId="1" applyNumberFormat="1" applyFont="1" applyFill="1" applyAlignment="1" applyProtection="1">
      <alignment horizontal="right"/>
    </xf>
    <xf numFmtId="37" fontId="34" fillId="2" borderId="0" xfId="1" applyNumberFormat="1" applyFont="1" applyFill="1"/>
    <xf numFmtId="37" fontId="2" fillId="2" borderId="0" xfId="29" applyNumberFormat="1" applyFill="1"/>
    <xf numFmtId="37" fontId="2" fillId="2" borderId="41" xfId="29" applyNumberFormat="1" applyFill="1" applyBorder="1"/>
    <xf numFmtId="37" fontId="42" fillId="2" borderId="0" xfId="27" applyNumberFormat="1" applyFont="1" applyFill="1" applyBorder="1"/>
    <xf numFmtId="37" fontId="47" fillId="2" borderId="0" xfId="27" applyNumberFormat="1" applyFont="1" applyFill="1" applyAlignment="1" applyProtection="1"/>
    <xf numFmtId="2" fontId="2" fillId="2" borderId="0" xfId="27" applyNumberFormat="1" applyFont="1" applyFill="1" applyAlignment="1" applyProtection="1">
      <alignment horizontal="left"/>
    </xf>
    <xf numFmtId="37" fontId="2" fillId="2" borderId="0" xfId="27" quotePrefix="1" applyNumberFormat="1" applyFont="1" applyFill="1"/>
    <xf numFmtId="0" fontId="24" fillId="2" borderId="0" xfId="18" applyFont="1" applyFill="1" applyAlignment="1">
      <alignment horizontal="center" vertical="top" textRotation="9"/>
    </xf>
    <xf numFmtId="0" fontId="5" fillId="2" borderId="0" xfId="18" applyFont="1" applyFill="1" applyBorder="1"/>
    <xf numFmtId="0" fontId="5" fillId="5" borderId="5" xfId="1" applyFont="1" applyFill="1" applyBorder="1" applyAlignment="1">
      <alignment horizontal="left" vertical="center"/>
    </xf>
    <xf numFmtId="0" fontId="5" fillId="5" borderId="11" xfId="1" applyFont="1" applyFill="1" applyBorder="1" applyAlignment="1">
      <alignment horizontal="left" vertical="center"/>
    </xf>
    <xf numFmtId="0" fontId="5" fillId="5" borderId="11" xfId="1" applyFont="1" applyFill="1" applyBorder="1"/>
    <xf numFmtId="0" fontId="5" fillId="5" borderId="8" xfId="1" applyFont="1" applyFill="1" applyBorder="1"/>
    <xf numFmtId="0" fontId="2" fillId="5" borderId="17" xfId="1" applyFont="1" applyFill="1" applyBorder="1"/>
    <xf numFmtId="0" fontId="2" fillId="5" borderId="4" xfId="1" applyFont="1" applyFill="1" applyBorder="1"/>
    <xf numFmtId="0" fontId="2" fillId="5" borderId="15" xfId="1" applyFont="1" applyFill="1" applyBorder="1"/>
    <xf numFmtId="0" fontId="55" fillId="2" borderId="0" xfId="18" applyFont="1" applyFill="1" applyAlignment="1">
      <alignment horizontal="left" vertical="center"/>
    </xf>
    <xf numFmtId="0" fontId="56" fillId="2" borderId="0" xfId="18" applyFont="1" applyFill="1" applyAlignment="1">
      <alignment horizontal="left" vertical="center"/>
    </xf>
    <xf numFmtId="0" fontId="26" fillId="7" borderId="0" xfId="18" applyFont="1" applyFill="1" applyAlignment="1">
      <alignment horizontal="left" vertical="center"/>
    </xf>
    <xf numFmtId="0" fontId="5" fillId="7" borderId="0" xfId="18" applyFont="1" applyFill="1"/>
    <xf numFmtId="0" fontId="5" fillId="7" borderId="0" xfId="18" applyFont="1" applyFill="1" applyBorder="1" applyAlignment="1">
      <alignment horizontal="center"/>
    </xf>
    <xf numFmtId="44" fontId="27" fillId="7" borderId="4" xfId="8" applyFont="1" applyFill="1" applyBorder="1"/>
    <xf numFmtId="44" fontId="4" fillId="7" borderId="4" xfId="8" applyFont="1" applyFill="1" applyBorder="1"/>
    <xf numFmtId="44" fontId="5" fillId="7" borderId="0" xfId="8" applyFont="1" applyFill="1" applyBorder="1"/>
    <xf numFmtId="0" fontId="5" fillId="7" borderId="0" xfId="18" applyFont="1" applyFill="1" applyBorder="1" applyAlignment="1">
      <alignment horizontal="right"/>
    </xf>
    <xf numFmtId="3" fontId="4" fillId="7" borderId="4" xfId="18" applyNumberFormat="1" applyFont="1" applyFill="1" applyBorder="1"/>
    <xf numFmtId="164" fontId="5" fillId="0" borderId="0" xfId="8" applyNumberFormat="1" applyFont="1" applyFill="1" applyBorder="1"/>
    <xf numFmtId="10" fontId="5" fillId="4" borderId="0" xfId="20" applyNumberFormat="1" applyFont="1" applyFill="1" applyBorder="1" applyAlignment="1">
      <alignment horizontal="center"/>
    </xf>
    <xf numFmtId="0" fontId="5" fillId="2" borderId="74" xfId="18" applyFont="1" applyFill="1" applyBorder="1"/>
    <xf numFmtId="0" fontId="16" fillId="9" borderId="1" xfId="18" applyFont="1" applyFill="1" applyBorder="1" applyAlignment="1">
      <alignment horizontal="left" vertical="center"/>
    </xf>
    <xf numFmtId="0" fontId="16" fillId="9" borderId="2" xfId="18" applyFont="1" applyFill="1" applyBorder="1" applyAlignment="1">
      <alignment horizontal="left" vertical="center"/>
    </xf>
    <xf numFmtId="0" fontId="16" fillId="9" borderId="3" xfId="18" applyFont="1" applyFill="1" applyBorder="1" applyAlignment="1">
      <alignment horizontal="left" vertical="center"/>
    </xf>
    <xf numFmtId="0" fontId="58" fillId="0" borderId="0" xfId="18" applyFont="1"/>
    <xf numFmtId="0" fontId="16" fillId="9" borderId="0" xfId="18" applyFont="1" applyFill="1" applyBorder="1" applyAlignment="1">
      <alignment horizontal="left" vertical="center"/>
    </xf>
    <xf numFmtId="0" fontId="58" fillId="9" borderId="0" xfId="18" applyFont="1" applyFill="1"/>
    <xf numFmtId="0" fontId="16" fillId="9" borderId="0" xfId="18" applyFont="1" applyFill="1" applyBorder="1" applyAlignment="1">
      <alignment horizontal="center" vertical="center"/>
    </xf>
    <xf numFmtId="0" fontId="13" fillId="0" borderId="0" xfId="18" applyFont="1"/>
    <xf numFmtId="0" fontId="2" fillId="0" borderId="0" xfId="18" applyFont="1"/>
    <xf numFmtId="0" fontId="16" fillId="0" borderId="0" xfId="18" applyFont="1" applyFill="1" applyBorder="1" applyAlignment="1">
      <alignment horizontal="center" vertical="center"/>
    </xf>
    <xf numFmtId="0" fontId="2" fillId="3" borderId="0" xfId="18" applyFont="1" applyFill="1"/>
    <xf numFmtId="0" fontId="58" fillId="3" borderId="0" xfId="18" applyFont="1" applyFill="1"/>
    <xf numFmtId="0" fontId="16" fillId="3" borderId="0" xfId="18" applyFont="1" applyFill="1" applyBorder="1" applyAlignment="1">
      <alignment horizontal="center" vertical="center"/>
    </xf>
    <xf numFmtId="0" fontId="2" fillId="0" borderId="0" xfId="18" applyFont="1" applyFill="1"/>
    <xf numFmtId="0" fontId="58" fillId="0" borderId="0" xfId="18" applyFont="1" applyFill="1"/>
    <xf numFmtId="0" fontId="42" fillId="10" borderId="75" xfId="30" applyFont="1" applyFill="1" applyBorder="1" applyAlignment="1">
      <alignment horizontal="center" wrapText="1"/>
    </xf>
    <xf numFmtId="0" fontId="2" fillId="14" borderId="4" xfId="18" applyFont="1" applyFill="1" applyBorder="1" applyAlignment="1">
      <alignment horizontal="centerContinuous" wrapText="1"/>
    </xf>
    <xf numFmtId="0" fontId="2" fillId="14" borderId="11" xfId="18" applyFont="1" applyFill="1" applyBorder="1" applyAlignment="1">
      <alignment horizontal="centerContinuous" wrapText="1"/>
    </xf>
    <xf numFmtId="0" fontId="58" fillId="14" borderId="11" xfId="18" applyFont="1" applyFill="1" applyBorder="1" applyAlignment="1">
      <alignment horizontal="centerContinuous" wrapText="1"/>
    </xf>
    <xf numFmtId="0" fontId="58" fillId="14" borderId="8" xfId="18" applyFont="1" applyFill="1" applyBorder="1" applyAlignment="1">
      <alignment horizontal="centerContinuous" wrapText="1"/>
    </xf>
    <xf numFmtId="0" fontId="2" fillId="14" borderId="4" xfId="18" applyFont="1" applyFill="1" applyBorder="1" applyAlignment="1">
      <alignment horizontal="center" wrapText="1"/>
    </xf>
    <xf numFmtId="0" fontId="58" fillId="0" borderId="0" xfId="18" applyFont="1" applyAlignment="1">
      <alignment wrapText="1"/>
    </xf>
    <xf numFmtId="0" fontId="42" fillId="0" borderId="76" xfId="30" applyFont="1" applyFill="1" applyBorder="1" applyAlignment="1">
      <alignment horizontal="left" wrapText="1"/>
    </xf>
    <xf numFmtId="43" fontId="50" fillId="0" borderId="77" xfId="4" quotePrefix="1" applyFont="1" applyFill="1" applyBorder="1"/>
    <xf numFmtId="0" fontId="42" fillId="0" borderId="78" xfId="30" applyFont="1" applyFill="1" applyBorder="1" applyAlignment="1">
      <alignment horizontal="left" wrapText="1"/>
    </xf>
    <xf numFmtId="43" fontId="50" fillId="0" borderId="28" xfId="4" quotePrefix="1" applyFont="1" applyFill="1" applyBorder="1"/>
    <xf numFmtId="0" fontId="2" fillId="0" borderId="78" xfId="18" applyFont="1" applyFill="1" applyBorder="1" applyAlignment="1">
      <alignment horizontal="center"/>
    </xf>
    <xf numFmtId="0" fontId="2" fillId="0" borderId="78" xfId="18" applyFont="1" applyFill="1" applyBorder="1" applyAlignment="1">
      <alignment horizontal="left"/>
    </xf>
    <xf numFmtId="0" fontId="2" fillId="0" borderId="79" xfId="18" applyFont="1" applyFill="1" applyBorder="1" applyAlignment="1">
      <alignment horizontal="center"/>
    </xf>
    <xf numFmtId="0" fontId="2" fillId="0" borderId="79" xfId="18" applyFont="1" applyFill="1" applyBorder="1" applyAlignment="1">
      <alignment horizontal="left"/>
    </xf>
    <xf numFmtId="43" fontId="50" fillId="0" borderId="83" xfId="4" quotePrefix="1" applyFont="1" applyFill="1" applyBorder="1"/>
    <xf numFmtId="0" fontId="2" fillId="0" borderId="0" xfId="18" applyFont="1" applyBorder="1" applyAlignment="1">
      <alignment horizontal="center"/>
    </xf>
    <xf numFmtId="0" fontId="2" fillId="0" borderId="0" xfId="18" applyFont="1" applyBorder="1" applyAlignment="1">
      <alignment horizontal="left"/>
    </xf>
    <xf numFmtId="2" fontId="2" fillId="0" borderId="0" xfId="18" applyNumberFormat="1" applyFont="1" applyBorder="1" applyAlignment="1">
      <alignment horizontal="center"/>
    </xf>
    <xf numFmtId="167" fontId="42" fillId="0" borderId="0" xfId="30" applyNumberFormat="1" applyFont="1" applyFill="1" applyBorder="1" applyAlignment="1">
      <alignment horizontal="right" wrapText="1"/>
    </xf>
    <xf numFmtId="0" fontId="2" fillId="0" borderId="0" xfId="18" applyFont="1" applyBorder="1" applyAlignment="1">
      <alignment horizontal="left" wrapText="1"/>
    </xf>
    <xf numFmtId="0" fontId="0" fillId="0" borderId="0" xfId="0" applyBorder="1" applyAlignment="1">
      <alignment horizontal="left" wrapText="1"/>
    </xf>
    <xf numFmtId="43" fontId="50" fillId="0" borderId="0" xfId="4" quotePrefix="1" applyFont="1" applyBorder="1"/>
    <xf numFmtId="49" fontId="2" fillId="15" borderId="70" xfId="18" quotePrefix="1" applyNumberFormat="1" applyFont="1" applyFill="1" applyBorder="1" applyAlignment="1">
      <alignment horizontal="center"/>
    </xf>
    <xf numFmtId="49" fontId="2" fillId="15" borderId="77" xfId="18" quotePrefix="1" applyNumberFormat="1" applyFont="1" applyFill="1" applyBorder="1" applyAlignment="1">
      <alignment horizontal="center"/>
    </xf>
    <xf numFmtId="167" fontId="50" fillId="7" borderId="77" xfId="10" applyNumberFormat="1" applyFont="1" applyFill="1" applyBorder="1"/>
    <xf numFmtId="173" fontId="50" fillId="15" borderId="77" xfId="4" quotePrefix="1" applyNumberFormat="1" applyFont="1" applyFill="1" applyBorder="1"/>
    <xf numFmtId="167" fontId="50" fillId="15" borderId="77" xfId="4" quotePrefix="1" applyNumberFormat="1" applyFont="1" applyFill="1" applyBorder="1"/>
    <xf numFmtId="167" fontId="50" fillId="15" borderId="77" xfId="10" applyNumberFormat="1" applyFont="1" applyFill="1" applyBorder="1"/>
    <xf numFmtId="49" fontId="2" fillId="15" borderId="73" xfId="18" quotePrefix="1" applyNumberFormat="1" applyFont="1" applyFill="1" applyBorder="1" applyAlignment="1">
      <alignment horizontal="center"/>
    </xf>
    <xf numFmtId="49" fontId="2" fillId="15" borderId="28" xfId="18" quotePrefix="1" applyNumberFormat="1" applyFont="1" applyFill="1" applyBorder="1" applyAlignment="1">
      <alignment horizontal="center"/>
    </xf>
    <xf numFmtId="167" fontId="50" fillId="7" borderId="28" xfId="10" applyNumberFormat="1" applyFont="1" applyFill="1" applyBorder="1"/>
    <xf numFmtId="173" fontId="50" fillId="15" borderId="28" xfId="4" quotePrefix="1" applyNumberFormat="1" applyFont="1" applyFill="1" applyBorder="1"/>
    <xf numFmtId="167" fontId="50" fillId="15" borderId="28" xfId="4" quotePrefix="1" applyNumberFormat="1" applyFont="1" applyFill="1" applyBorder="1"/>
    <xf numFmtId="167" fontId="50" fillId="15" borderId="28" xfId="10" applyNumberFormat="1" applyFont="1" applyFill="1" applyBorder="1"/>
    <xf numFmtId="49" fontId="2" fillId="15" borderId="17" xfId="18" quotePrefix="1" applyNumberFormat="1" applyFont="1" applyFill="1" applyBorder="1" applyAlignment="1">
      <alignment horizontal="center"/>
    </xf>
    <xf numFmtId="167" fontId="50" fillId="7" borderId="17" xfId="10" applyNumberFormat="1" applyFont="1" applyFill="1" applyBorder="1"/>
    <xf numFmtId="173" fontId="50" fillId="15" borderId="17" xfId="4" quotePrefix="1" applyNumberFormat="1" applyFont="1" applyFill="1" applyBorder="1"/>
    <xf numFmtId="167" fontId="50" fillId="15" borderId="17" xfId="10" applyNumberFormat="1" applyFont="1" applyFill="1" applyBorder="1"/>
    <xf numFmtId="0" fontId="2" fillId="0" borderId="71" xfId="18" quotePrefix="1" applyFont="1" applyBorder="1" applyAlignment="1">
      <alignment horizontal="center"/>
    </xf>
    <xf numFmtId="43" fontId="50" fillId="0" borderId="71" xfId="4" quotePrefix="1" applyFont="1" applyBorder="1"/>
    <xf numFmtId="43" fontId="51" fillId="0" borderId="71" xfId="4" applyFont="1" applyFill="1" applyBorder="1" applyAlignment="1">
      <alignment horizontal="right"/>
    </xf>
    <xf numFmtId="167" fontId="13" fillId="15" borderId="71" xfId="18" applyNumberFormat="1" applyFont="1" applyFill="1" applyBorder="1" applyAlignment="1">
      <alignment horizontal="right"/>
    </xf>
    <xf numFmtId="0" fontId="2" fillId="0" borderId="0" xfId="18" applyNumberFormat="1" applyFont="1" applyAlignment="1">
      <alignment horizontal="left"/>
    </xf>
    <xf numFmtId="0" fontId="2" fillId="0" borderId="0" xfId="18" applyFont="1" applyAlignment="1">
      <alignment horizontal="center"/>
    </xf>
    <xf numFmtId="0" fontId="2" fillId="0" borderId="0" xfId="18" applyFont="1" applyAlignment="1">
      <alignment horizontal="left"/>
    </xf>
    <xf numFmtId="2" fontId="2" fillId="0" borderId="0" xfId="18" applyNumberFormat="1" applyFont="1" applyAlignment="1">
      <alignment horizontal="center"/>
    </xf>
    <xf numFmtId="44" fontId="2" fillId="0" borderId="0" xfId="18" applyNumberFormat="1" applyFont="1" applyFill="1" applyAlignment="1">
      <alignment horizontal="center"/>
    </xf>
    <xf numFmtId="0" fontId="13" fillId="0" borderId="0" xfId="18" applyFont="1" applyAlignment="1">
      <alignment horizontal="right"/>
    </xf>
    <xf numFmtId="167" fontId="13" fillId="0" borderId="0" xfId="18" applyNumberFormat="1" applyFont="1" applyFill="1"/>
    <xf numFmtId="167" fontId="2" fillId="0" borderId="0" xfId="18" applyNumberFormat="1" applyFont="1"/>
    <xf numFmtId="0" fontId="16" fillId="4" borderId="47" xfId="18" applyFont="1" applyFill="1" applyBorder="1" applyAlignment="1">
      <alignment horizontal="left" vertical="center"/>
    </xf>
    <xf numFmtId="0" fontId="0" fillId="4" borderId="47" xfId="0" applyFill="1" applyBorder="1"/>
    <xf numFmtId="2" fontId="0" fillId="4" borderId="47" xfId="0" applyNumberFormat="1" applyFill="1" applyBorder="1"/>
    <xf numFmtId="17" fontId="0" fillId="0" borderId="0" xfId="0" applyNumberFormat="1"/>
    <xf numFmtId="2" fontId="0" fillId="0" borderId="0" xfId="0" applyNumberFormat="1"/>
    <xf numFmtId="0" fontId="13" fillId="0" borderId="4" xfId="0" applyFont="1" applyBorder="1"/>
    <xf numFmtId="10" fontId="50" fillId="7" borderId="71" xfId="0" applyNumberFormat="1" applyFont="1" applyFill="1" applyBorder="1"/>
    <xf numFmtId="0" fontId="50" fillId="3" borderId="71" xfId="0" applyFont="1" applyFill="1" applyBorder="1"/>
    <xf numFmtId="43" fontId="50" fillId="0" borderId="77" xfId="4" quotePrefix="1" applyFont="1" applyBorder="1"/>
    <xf numFmtId="43" fontId="50" fillId="0" borderId="28" xfId="4" quotePrefix="1" applyFont="1" applyBorder="1"/>
    <xf numFmtId="0" fontId="2" fillId="0" borderId="78" xfId="18" applyFont="1" applyBorder="1" applyAlignment="1">
      <alignment horizontal="center"/>
    </xf>
    <xf numFmtId="0" fontId="2" fillId="0" borderId="78" xfId="18" applyFont="1" applyBorder="1" applyAlignment="1">
      <alignment horizontal="left"/>
    </xf>
    <xf numFmtId="0" fontId="2" fillId="0" borderId="79" xfId="18" applyFont="1" applyBorder="1" applyAlignment="1">
      <alignment horizontal="center"/>
    </xf>
    <xf numFmtId="0" fontId="2" fillId="0" borderId="79" xfId="18" applyFont="1" applyBorder="1" applyAlignment="1">
      <alignment horizontal="left"/>
    </xf>
    <xf numFmtId="43" fontId="50" fillId="0" borderId="83" xfId="4" quotePrefix="1" applyFont="1" applyBorder="1"/>
    <xf numFmtId="0" fontId="5" fillId="0" borderId="0" xfId="1" applyFont="1" applyFill="1" applyBorder="1" applyAlignment="1">
      <alignment vertical="center" wrapText="1"/>
    </xf>
    <xf numFmtId="0" fontId="59" fillId="0" borderId="0" xfId="19" applyFont="1"/>
    <xf numFmtId="0" fontId="1" fillId="0" borderId="0" xfId="19"/>
    <xf numFmtId="0" fontId="60" fillId="0" borderId="46" xfId="19" applyFont="1" applyBorder="1" applyAlignment="1">
      <alignment horizontal="left"/>
    </xf>
    <xf numFmtId="0" fontId="60" fillId="0" borderId="47" xfId="19" applyFont="1" applyBorder="1" applyAlignment="1">
      <alignment horizontal="left"/>
    </xf>
    <xf numFmtId="0" fontId="44" fillId="0" borderId="62" xfId="19" applyFont="1" applyBorder="1"/>
    <xf numFmtId="0" fontId="44" fillId="0" borderId="84" xfId="19" applyFont="1" applyBorder="1" applyAlignment="1">
      <alignment horizontal="right" vertical="top"/>
    </xf>
    <xf numFmtId="0" fontId="44" fillId="0" borderId="33" xfId="19" applyFont="1" applyBorder="1"/>
    <xf numFmtId="0" fontId="44" fillId="0" borderId="0" xfId="19" applyFont="1" applyBorder="1"/>
    <xf numFmtId="0" fontId="44" fillId="0" borderId="18" xfId="19" applyFont="1" applyBorder="1"/>
    <xf numFmtId="0" fontId="44" fillId="0" borderId="41" xfId="19" applyFont="1" applyBorder="1"/>
    <xf numFmtId="0" fontId="44" fillId="0" borderId="85" xfId="19" applyFont="1" applyBorder="1"/>
    <xf numFmtId="0" fontId="44" fillId="0" borderId="33" xfId="19" applyFont="1" applyBorder="1" applyAlignment="1">
      <alignment horizontal="left"/>
    </xf>
    <xf numFmtId="0" fontId="44" fillId="0" borderId="70" xfId="19" applyFont="1" applyBorder="1"/>
    <xf numFmtId="0" fontId="44" fillId="0" borderId="71" xfId="19" applyFont="1" applyBorder="1"/>
    <xf numFmtId="0" fontId="44" fillId="0" borderId="86" xfId="19" applyFont="1" applyBorder="1" applyAlignment="1">
      <alignment horizontal="right"/>
    </xf>
    <xf numFmtId="0" fontId="44" fillId="0" borderId="40" xfId="19" applyFont="1" applyBorder="1"/>
    <xf numFmtId="0" fontId="60" fillId="10" borderId="33" xfId="19" applyFont="1" applyFill="1" applyBorder="1"/>
    <xf numFmtId="0" fontId="44" fillId="10" borderId="0" xfId="19" applyFont="1" applyFill="1" applyBorder="1"/>
    <xf numFmtId="0" fontId="44" fillId="10" borderId="40" xfId="19" applyFont="1" applyFill="1" applyBorder="1"/>
    <xf numFmtId="0" fontId="44" fillId="0" borderId="87" xfId="19" applyFont="1" applyBorder="1"/>
    <xf numFmtId="0" fontId="44" fillId="0" borderId="72" xfId="19" applyFont="1" applyBorder="1"/>
    <xf numFmtId="0" fontId="44" fillId="0" borderId="86" xfId="19" applyFont="1" applyBorder="1"/>
    <xf numFmtId="0" fontId="44" fillId="0" borderId="55" xfId="19" applyFont="1" applyBorder="1"/>
    <xf numFmtId="0" fontId="44" fillId="0" borderId="52" xfId="19" applyFont="1" applyBorder="1"/>
    <xf numFmtId="20" fontId="44" fillId="0" borderId="33" xfId="19" applyNumberFormat="1" applyFont="1" applyBorder="1"/>
    <xf numFmtId="0" fontId="61" fillId="0" borderId="0" xfId="19" applyFont="1" applyBorder="1"/>
    <xf numFmtId="0" fontId="44" fillId="0" borderId="77" xfId="19" applyFont="1" applyBorder="1"/>
    <xf numFmtId="0" fontId="44" fillId="0" borderId="88" xfId="19" applyFont="1" applyBorder="1"/>
    <xf numFmtId="0" fontId="44" fillId="0" borderId="17" xfId="19" applyFont="1" applyBorder="1"/>
    <xf numFmtId="0" fontId="44" fillId="0" borderId="19" xfId="19" applyFont="1" applyBorder="1"/>
    <xf numFmtId="0" fontId="44" fillId="0" borderId="87" xfId="19" applyFont="1" applyFill="1" applyBorder="1"/>
    <xf numFmtId="0" fontId="44" fillId="0" borderId="71" xfId="19" applyFont="1" applyFill="1" applyBorder="1"/>
    <xf numFmtId="0" fontId="44" fillId="0" borderId="86" xfId="19" applyFont="1" applyFill="1" applyBorder="1"/>
    <xf numFmtId="0" fontId="44" fillId="0" borderId="33" xfId="19" applyFont="1" applyFill="1" applyBorder="1"/>
    <xf numFmtId="0" fontId="44" fillId="0" borderId="0" xfId="19" applyFont="1" applyFill="1" applyBorder="1"/>
    <xf numFmtId="0" fontId="44" fillId="0" borderId="40" xfId="19" applyFont="1" applyFill="1" applyBorder="1"/>
    <xf numFmtId="0" fontId="60" fillId="0" borderId="55" xfId="19" applyFont="1" applyFill="1" applyBorder="1"/>
    <xf numFmtId="0" fontId="44" fillId="0" borderId="41" xfId="19" applyFont="1" applyFill="1" applyBorder="1"/>
    <xf numFmtId="0" fontId="44" fillId="0" borderId="85" xfId="19" applyFont="1" applyFill="1" applyBorder="1"/>
    <xf numFmtId="0" fontId="44" fillId="0" borderId="69" xfId="19" applyFont="1" applyBorder="1"/>
    <xf numFmtId="0" fontId="44" fillId="0" borderId="73" xfId="19" applyFont="1" applyBorder="1"/>
    <xf numFmtId="0" fontId="61" fillId="0" borderId="56" xfId="19" applyFont="1" applyBorder="1"/>
    <xf numFmtId="0" fontId="44" fillId="0" borderId="8" xfId="19" applyFont="1" applyBorder="1"/>
    <xf numFmtId="0" fontId="44" fillId="0" borderId="5" xfId="19" applyFont="1" applyBorder="1"/>
    <xf numFmtId="0" fontId="44" fillId="0" borderId="11" xfId="19" applyFont="1" applyBorder="1"/>
    <xf numFmtId="0" fontId="44" fillId="0" borderId="5" xfId="19" applyFont="1" applyBorder="1" applyAlignment="1">
      <alignment horizontal="left"/>
    </xf>
    <xf numFmtId="0" fontId="1" fillId="0" borderId="8" xfId="19" applyBorder="1"/>
    <xf numFmtId="0" fontId="44" fillId="0" borderId="11" xfId="19" applyFont="1" applyBorder="1" applyAlignment="1">
      <alignment horizontal="left"/>
    </xf>
    <xf numFmtId="0" fontId="44" fillId="0" borderId="89" xfId="19" applyFont="1" applyBorder="1"/>
    <xf numFmtId="0" fontId="64" fillId="0" borderId="0" xfId="1" applyFont="1"/>
    <xf numFmtId="0" fontId="67" fillId="0" borderId="5" xfId="0" applyFont="1" applyBorder="1" applyAlignment="1">
      <alignment vertical="center" wrapText="1"/>
    </xf>
    <xf numFmtId="0" fontId="67" fillId="0" borderId="4" xfId="0" applyFont="1" applyBorder="1" applyAlignment="1">
      <alignment vertical="center" wrapText="1"/>
    </xf>
    <xf numFmtId="0" fontId="66" fillId="0" borderId="4" xfId="0" applyFont="1" applyBorder="1" applyAlignment="1">
      <alignment vertical="center" wrapText="1"/>
    </xf>
    <xf numFmtId="0" fontId="64" fillId="0" borderId="0" xfId="1" applyFont="1" applyBorder="1"/>
    <xf numFmtId="0" fontId="67" fillId="0" borderId="0" xfId="0" applyFont="1" applyAlignment="1">
      <alignment vertical="center"/>
    </xf>
    <xf numFmtId="0" fontId="67" fillId="0" borderId="0" xfId="0" applyFont="1"/>
    <xf numFmtId="0" fontId="3" fillId="2" borderId="0" xfId="31" applyFont="1" applyFill="1" applyAlignment="1">
      <alignment horizontal="left" vertical="center"/>
    </xf>
    <xf numFmtId="0" fontId="5" fillId="2" borderId="0" xfId="31" applyFont="1" applyFill="1"/>
    <xf numFmtId="0" fontId="6" fillId="2" borderId="0" xfId="31" applyFont="1" applyFill="1" applyAlignment="1">
      <alignment horizontal="left" vertical="center"/>
    </xf>
    <xf numFmtId="0" fontId="5" fillId="2" borderId="0" xfId="31" applyFont="1" applyFill="1" applyBorder="1" applyAlignment="1">
      <alignment horizontal="center"/>
    </xf>
    <xf numFmtId="0" fontId="5" fillId="2" borderId="0" xfId="31" applyFont="1" applyFill="1" applyBorder="1"/>
    <xf numFmtId="0" fontId="5" fillId="2" borderId="9" xfId="31" applyFont="1" applyFill="1" applyBorder="1" applyAlignment="1">
      <alignment horizontal="center" vertical="center"/>
    </xf>
    <xf numFmtId="0" fontId="5" fillId="2" borderId="4" xfId="31" applyFont="1" applyFill="1" applyBorder="1" applyAlignment="1">
      <alignment wrapText="1"/>
    </xf>
    <xf numFmtId="0" fontId="5" fillId="2" borderId="4" xfId="31" applyFont="1" applyFill="1" applyBorder="1"/>
    <xf numFmtId="0" fontId="5" fillId="2" borderId="43" xfId="31" applyFont="1" applyFill="1" applyBorder="1"/>
    <xf numFmtId="0" fontId="5" fillId="2" borderId="44" xfId="31" applyFont="1" applyFill="1" applyBorder="1"/>
    <xf numFmtId="0" fontId="4" fillId="2" borderId="44" xfId="31" applyFont="1" applyFill="1" applyBorder="1" applyAlignment="1">
      <alignment horizontal="right"/>
    </xf>
    <xf numFmtId="0" fontId="2" fillId="5" borderId="4" xfId="1" applyFont="1" applyFill="1" applyBorder="1" applyAlignment="1">
      <alignment horizontal="center" vertical="center" wrapText="1"/>
    </xf>
    <xf numFmtId="0" fontId="50" fillId="19" borderId="90" xfId="0" applyFont="1" applyFill="1" applyBorder="1" applyAlignment="1">
      <alignment horizontal="center" vertical="center"/>
    </xf>
    <xf numFmtId="0" fontId="50" fillId="19" borderId="92" xfId="0" applyFont="1" applyFill="1" applyBorder="1" applyAlignment="1">
      <alignment horizontal="center" vertical="center"/>
    </xf>
    <xf numFmtId="0" fontId="50" fillId="0" borderId="91" xfId="0" applyFont="1" applyBorder="1" applyAlignment="1">
      <alignment vertical="top"/>
    </xf>
    <xf numFmtId="0" fontId="50" fillId="0" borderId="93" xfId="0" applyFont="1" applyBorder="1" applyAlignment="1">
      <alignment vertical="top"/>
    </xf>
    <xf numFmtId="0" fontId="5" fillId="3" borderId="4" xfId="1" applyFont="1" applyFill="1" applyBorder="1" applyAlignment="1">
      <alignment horizontal="center" vertical="center" wrapText="1"/>
    </xf>
    <xf numFmtId="0" fontId="66" fillId="0" borderId="58" xfId="0" applyFont="1" applyBorder="1" applyAlignment="1">
      <alignment horizontal="left" vertical="center"/>
    </xf>
    <xf numFmtId="0" fontId="65" fillId="16" borderId="51" xfId="0" applyFont="1" applyFill="1" applyBorder="1" applyAlignment="1">
      <alignment horizontal="left" vertical="center"/>
    </xf>
    <xf numFmtId="0" fontId="65" fillId="16" borderId="3" xfId="0" applyFont="1" applyFill="1" applyBorder="1" applyAlignment="1">
      <alignment horizontal="left" vertical="center"/>
    </xf>
    <xf numFmtId="0" fontId="65" fillId="17" borderId="3" xfId="0" applyFont="1" applyFill="1" applyBorder="1" applyAlignment="1">
      <alignment horizontal="left" vertical="center"/>
    </xf>
    <xf numFmtId="0" fontId="65" fillId="18" borderId="3" xfId="0" applyFont="1" applyFill="1" applyBorder="1" applyAlignment="1">
      <alignment horizontal="left" vertical="center"/>
    </xf>
    <xf numFmtId="0" fontId="66" fillId="0" borderId="45" xfId="0" applyFont="1" applyBorder="1" applyAlignment="1">
      <alignment horizontal="left" vertical="center"/>
    </xf>
    <xf numFmtId="174" fontId="2" fillId="0" borderId="4" xfId="32" applyNumberFormat="1" applyFont="1" applyFill="1" applyBorder="1" applyAlignment="1">
      <alignment horizontal="center" vertical="center"/>
    </xf>
    <xf numFmtId="3" fontId="69" fillId="0" borderId="4" xfId="32" applyNumberFormat="1" applyFill="1" applyBorder="1" applyAlignment="1">
      <alignment horizontal="center"/>
    </xf>
    <xf numFmtId="49" fontId="2" fillId="0" borderId="4" xfId="32" applyNumberFormat="1" applyFont="1" applyFill="1" applyBorder="1" applyAlignment="1">
      <alignment horizontal="center" vertical="center"/>
    </xf>
    <xf numFmtId="0" fontId="69" fillId="0" borderId="4" xfId="32" applyFill="1" applyBorder="1" applyAlignment="1">
      <alignment horizontal="center"/>
    </xf>
    <xf numFmtId="17" fontId="2" fillId="0" borderId="4" xfId="32" applyNumberFormat="1" applyFont="1" applyFill="1" applyBorder="1" applyAlignment="1">
      <alignment horizontal="center" vertical="center"/>
    </xf>
    <xf numFmtId="0" fontId="2" fillId="0" borderId="0" xfId="1" applyBorder="1"/>
    <xf numFmtId="0" fontId="2" fillId="6" borderId="0" xfId="1" quotePrefix="1" applyFont="1" applyFill="1" applyBorder="1" applyAlignment="1">
      <alignment horizontal="left"/>
    </xf>
    <xf numFmtId="0" fontId="2" fillId="6" borderId="0" xfId="1" applyFont="1" applyFill="1" applyBorder="1" applyAlignment="1">
      <alignment wrapText="1"/>
    </xf>
    <xf numFmtId="0" fontId="2" fillId="6" borderId="0" xfId="1" quotePrefix="1" applyFont="1" applyFill="1" applyBorder="1" applyAlignment="1">
      <alignment horizontal="left" wrapText="1"/>
    </xf>
    <xf numFmtId="0" fontId="2" fillId="6" borderId="0" xfId="1" applyFont="1" applyFill="1" applyBorder="1"/>
    <xf numFmtId="0" fontId="0" fillId="0" borderId="0" xfId="0" applyBorder="1"/>
    <xf numFmtId="0" fontId="2" fillId="6" borderId="0" xfId="1" applyFont="1" applyFill="1" applyBorder="1" applyAlignment="1">
      <alignment horizontal="center"/>
    </xf>
    <xf numFmtId="174" fontId="2" fillId="0" borderId="0" xfId="32" applyNumberFormat="1" applyFont="1" applyFill="1" applyBorder="1" applyAlignment="1">
      <alignment horizontal="center" vertical="center"/>
    </xf>
    <xf numFmtId="3" fontId="69" fillId="0" borderId="0" xfId="32" applyNumberFormat="1" applyFill="1" applyBorder="1" applyAlignment="1">
      <alignment horizontal="center"/>
    </xf>
    <xf numFmtId="49" fontId="2" fillId="0" borderId="0" xfId="32" applyNumberFormat="1" applyFont="1" applyFill="1" applyBorder="1" applyAlignment="1">
      <alignment horizontal="center" vertical="center"/>
    </xf>
    <xf numFmtId="0" fontId="69" fillId="0" borderId="0" xfId="32" applyFill="1" applyBorder="1" applyAlignment="1">
      <alignment horizontal="center"/>
    </xf>
    <xf numFmtId="17" fontId="2" fillId="0" borderId="0" xfId="32" applyNumberFormat="1" applyFont="1" applyFill="1" applyBorder="1" applyAlignment="1">
      <alignment horizontal="center" vertical="center"/>
    </xf>
    <xf numFmtId="49" fontId="15" fillId="10" borderId="112" xfId="1" applyNumberFormat="1" applyFont="1" applyFill="1" applyBorder="1" applyAlignment="1">
      <alignment horizontal="center" wrapText="1"/>
    </xf>
    <xf numFmtId="49" fontId="15" fillId="10" borderId="28" xfId="1" applyNumberFormat="1" applyFont="1" applyFill="1" applyBorder="1" applyAlignment="1">
      <alignment horizontal="center" wrapText="1"/>
    </xf>
    <xf numFmtId="49" fontId="15" fillId="10" borderId="28" xfId="1" applyNumberFormat="1" applyFont="1" applyFill="1" applyBorder="1" applyAlignment="1">
      <alignment horizontal="center"/>
    </xf>
    <xf numFmtId="49" fontId="15" fillId="10" borderId="113" xfId="1" applyNumberFormat="1" applyFont="1" applyFill="1" applyBorder="1" applyAlignment="1">
      <alignment horizontal="center" wrapText="1"/>
    </xf>
    <xf numFmtId="42" fontId="15" fillId="0" borderId="4" xfId="1" applyNumberFormat="1" applyFont="1" applyFill="1" applyBorder="1" applyAlignment="1">
      <alignment vertical="top"/>
    </xf>
    <xf numFmtId="38" fontId="15" fillId="0" borderId="17" xfId="1" applyNumberFormat="1" applyFont="1" applyBorder="1" applyAlignment="1">
      <alignment vertical="top"/>
    </xf>
    <xf numFmtId="0" fontId="2" fillId="2" borderId="0" xfId="1" applyFont="1" applyFill="1"/>
    <xf numFmtId="0" fontId="2" fillId="0" borderId="67" xfId="1" applyFont="1" applyBorder="1"/>
    <xf numFmtId="164" fontId="2" fillId="0" borderId="6" xfId="11" applyNumberFormat="1" applyFont="1" applyBorder="1"/>
    <xf numFmtId="0" fontId="2" fillId="0" borderId="9" xfId="1" applyFont="1" applyBorder="1"/>
    <xf numFmtId="0" fontId="2" fillId="0" borderId="8" xfId="1" applyFont="1" applyBorder="1"/>
    <xf numFmtId="0" fontId="2" fillId="0" borderId="4" xfId="1" applyFont="1" applyBorder="1"/>
    <xf numFmtId="38" fontId="15" fillId="4" borderId="17" xfId="1" applyNumberFormat="1" applyFont="1" applyFill="1" applyBorder="1" applyAlignment="1">
      <alignment vertical="top"/>
    </xf>
    <xf numFmtId="0" fontId="5" fillId="6" borderId="4" xfId="1" applyFont="1" applyFill="1" applyBorder="1" applyAlignment="1">
      <alignment wrapText="1"/>
    </xf>
    <xf numFmtId="0" fontId="50" fillId="0" borderId="4" xfId="0" applyFont="1" applyBorder="1"/>
    <xf numFmtId="0" fontId="50" fillId="0" borderId="0" xfId="0" applyFont="1"/>
    <xf numFmtId="0" fontId="2" fillId="0" borderId="52" xfId="1" applyFont="1" applyBorder="1"/>
    <xf numFmtId="0" fontId="50" fillId="0" borderId="4" xfId="0" applyFont="1" applyBorder="1" applyAlignment="1">
      <alignment wrapText="1"/>
    </xf>
    <xf numFmtId="37" fontId="50" fillId="0" borderId="0" xfId="1" applyNumberFormat="1" applyFont="1" applyFill="1"/>
    <xf numFmtId="37" fontId="2" fillId="2" borderId="0" xfId="28" applyNumberFormat="1" applyFont="1" applyFill="1"/>
    <xf numFmtId="2" fontId="2" fillId="2" borderId="0" xfId="28" applyNumberFormat="1" applyFont="1" applyFill="1"/>
    <xf numFmtId="37" fontId="2" fillId="2" borderId="0" xfId="1" applyNumberFormat="1" applyFont="1" applyFill="1"/>
    <xf numFmtId="37" fontId="2" fillId="13" borderId="73" xfId="1" applyNumberFormat="1" applyFont="1" applyFill="1" applyBorder="1" applyAlignment="1" applyProtection="1">
      <alignment horizontal="left"/>
    </xf>
    <xf numFmtId="164" fontId="2" fillId="13" borderId="0" xfId="8" applyNumberFormat="1" applyFont="1" applyFill="1" applyBorder="1" applyProtection="1"/>
    <xf numFmtId="49" fontId="42" fillId="13" borderId="71" xfId="1" quotePrefix="1" applyNumberFormat="1" applyFont="1" applyFill="1" applyBorder="1" applyAlignment="1">
      <alignment horizontal="center"/>
    </xf>
    <xf numFmtId="37" fontId="2" fillId="13" borderId="70" xfId="1" applyNumberFormat="1" applyFont="1" applyFill="1" applyBorder="1" applyAlignment="1" applyProtection="1">
      <alignment horizontal="left"/>
    </xf>
    <xf numFmtId="0" fontId="5" fillId="5" borderId="72" xfId="1" applyFont="1" applyFill="1" applyBorder="1"/>
    <xf numFmtId="0" fontId="5" fillId="5" borderId="70" xfId="1" applyFont="1" applyFill="1" applyBorder="1" applyAlignment="1">
      <alignment horizontal="left" vertical="center"/>
    </xf>
    <xf numFmtId="0" fontId="5" fillId="5" borderId="71" xfId="1" applyFont="1" applyFill="1" applyBorder="1" applyAlignment="1">
      <alignment horizontal="left" vertical="center"/>
    </xf>
    <xf numFmtId="0" fontId="2" fillId="5" borderId="27" xfId="1" applyFont="1" applyFill="1" applyBorder="1" applyAlignment="1">
      <alignment horizontal="center" vertical="center" wrapText="1"/>
    </xf>
    <xf numFmtId="164" fontId="2" fillId="13" borderId="4" xfId="8" applyNumberFormat="1" applyFont="1" applyFill="1" applyBorder="1" applyProtection="1"/>
    <xf numFmtId="172" fontId="42" fillId="13" borderId="4" xfId="1" applyNumberFormat="1" applyFont="1" applyFill="1" applyBorder="1" applyAlignment="1">
      <alignment horizontal="center"/>
    </xf>
    <xf numFmtId="0" fontId="5" fillId="5" borderId="71" xfId="1" applyFont="1" applyFill="1" applyBorder="1"/>
    <xf numFmtId="3" fontId="2" fillId="5" borderId="17" xfId="1" applyNumberFormat="1" applyFont="1" applyFill="1" applyBorder="1"/>
    <xf numFmtId="0" fontId="2" fillId="5" borderId="17" xfId="1" applyFont="1" applyFill="1" applyBorder="1" applyAlignment="1">
      <alignment horizontal="right"/>
    </xf>
    <xf numFmtId="8" fontId="104" fillId="0" borderId="4" xfId="0" applyNumberFormat="1" applyFont="1" applyBorder="1"/>
    <xf numFmtId="170" fontId="2" fillId="13" borderId="4" xfId="27" applyNumberFormat="1" applyFont="1" applyFill="1" applyBorder="1" applyAlignment="1">
      <alignment horizontal="center"/>
    </xf>
    <xf numFmtId="10" fontId="5" fillId="2" borderId="84" xfId="22" applyNumberFormat="1" applyFont="1" applyFill="1" applyBorder="1" applyAlignment="1">
      <alignment horizontal="center" vertical="center"/>
    </xf>
    <xf numFmtId="0" fontId="5" fillId="2" borderId="46" xfId="1" applyFont="1" applyFill="1" applyBorder="1" applyAlignment="1">
      <alignment horizontal="right" vertical="center"/>
    </xf>
    <xf numFmtId="8" fontId="104" fillId="0" borderId="0" xfId="0" applyNumberFormat="1" applyFont="1"/>
    <xf numFmtId="8" fontId="104" fillId="0" borderId="17" xfId="0" applyNumberFormat="1" applyFont="1" applyBorder="1"/>
    <xf numFmtId="0" fontId="8" fillId="6" borderId="0" xfId="1" applyFont="1" applyFill="1" applyAlignment="1">
      <alignment horizontal="left" vertical="center"/>
    </xf>
    <xf numFmtId="37" fontId="2" fillId="2" borderId="0" xfId="1" applyNumberFormat="1" applyFont="1" applyFill="1"/>
    <xf numFmtId="37" fontId="42" fillId="2" borderId="0" xfId="1" applyNumberFormat="1" applyFont="1" applyFill="1" applyBorder="1"/>
    <xf numFmtId="37" fontId="2" fillId="2" borderId="0" xfId="1" applyNumberFormat="1" applyFont="1" applyFill="1" applyProtection="1"/>
    <xf numFmtId="37" fontId="2" fillId="0" borderId="73" xfId="1" applyNumberFormat="1" applyFont="1" applyFill="1" applyBorder="1" applyAlignment="1" applyProtection="1">
      <alignment horizontal="left"/>
    </xf>
    <xf numFmtId="37" fontId="39" fillId="2" borderId="0" xfId="27" applyNumberFormat="1" applyFont="1" applyFill="1"/>
    <xf numFmtId="37" fontId="2" fillId="2" borderId="0" xfId="27" applyNumberFormat="1" applyFont="1" applyFill="1"/>
    <xf numFmtId="2" fontId="2" fillId="2" borderId="0" xfId="27" applyNumberFormat="1" applyFont="1" applyFill="1"/>
    <xf numFmtId="37" fontId="13" fillId="2" borderId="0" xfId="27" applyNumberFormat="1" applyFont="1" applyFill="1"/>
    <xf numFmtId="37" fontId="13" fillId="2" borderId="0" xfId="1" applyNumberFormat="1" applyFont="1" applyFill="1" applyBorder="1" applyAlignment="1" applyProtection="1">
      <alignment horizontal="left"/>
    </xf>
    <xf numFmtId="37" fontId="40" fillId="2" borderId="0" xfId="1" quotePrefix="1" applyNumberFormat="1" applyFont="1" applyFill="1" applyBorder="1" applyAlignment="1">
      <alignment horizontal="center"/>
    </xf>
    <xf numFmtId="169" fontId="40" fillId="2" borderId="0" xfId="1" applyNumberFormat="1" applyFont="1" applyFill="1" applyBorder="1"/>
    <xf numFmtId="37" fontId="40" fillId="2" borderId="0" xfId="1" applyNumberFormat="1" applyFont="1" applyFill="1" applyBorder="1"/>
    <xf numFmtId="37" fontId="13" fillId="2" borderId="0" xfId="1" applyNumberFormat="1" applyFont="1" applyFill="1" applyProtection="1"/>
    <xf numFmtId="37" fontId="2" fillId="2" borderId="0" xfId="1" applyNumberFormat="1" applyFont="1" applyFill="1" applyBorder="1" applyAlignment="1" applyProtection="1">
      <alignment horizontal="left"/>
    </xf>
    <xf numFmtId="37" fontId="41" fillId="2" borderId="0" xfId="1" applyNumberFormat="1" applyFont="1" applyFill="1" applyBorder="1" applyAlignment="1">
      <alignment horizontal="center"/>
    </xf>
    <xf numFmtId="169" fontId="41" fillId="2" borderId="0" xfId="1" applyNumberFormat="1" applyFont="1" applyFill="1" applyBorder="1" applyAlignment="1">
      <alignment horizontal="center"/>
    </xf>
    <xf numFmtId="37" fontId="42" fillId="2" borderId="0" xfId="1" quotePrefix="1" applyNumberFormat="1" applyFont="1" applyFill="1" applyBorder="1" applyAlignment="1">
      <alignment horizontal="right"/>
    </xf>
    <xf numFmtId="37" fontId="42" fillId="2" borderId="68" xfId="1" quotePrefix="1" applyNumberFormat="1" applyFont="1" applyFill="1" applyBorder="1" applyAlignment="1">
      <alignment horizontal="right"/>
    </xf>
    <xf numFmtId="0" fontId="2" fillId="4" borderId="27" xfId="1" applyFont="1" applyFill="1" applyBorder="1" applyAlignment="1">
      <alignment horizontal="center" vertical="center" wrapText="1"/>
    </xf>
    <xf numFmtId="0" fontId="2" fillId="4" borderId="54" xfId="1" applyFont="1" applyFill="1" applyBorder="1" applyAlignment="1">
      <alignment horizontal="center" vertical="center" wrapText="1"/>
    </xf>
    <xf numFmtId="0" fontId="2" fillId="4" borderId="51" xfId="1" applyFont="1" applyFill="1" applyBorder="1" applyAlignment="1">
      <alignment horizontal="center" vertical="center" wrapText="1"/>
    </xf>
    <xf numFmtId="0" fontId="2" fillId="2" borderId="17" xfId="1" applyFont="1" applyFill="1" applyBorder="1"/>
    <xf numFmtId="0" fontId="2" fillId="2" borderId="4" xfId="1" applyFont="1" applyFill="1" applyBorder="1"/>
    <xf numFmtId="0" fontId="2" fillId="4" borderId="1" xfId="1" applyFont="1" applyFill="1" applyBorder="1" applyAlignment="1">
      <alignment horizontal="center" vertical="center" wrapText="1"/>
    </xf>
    <xf numFmtId="37" fontId="2" fillId="0" borderId="0" xfId="1" applyNumberFormat="1" applyFont="1" applyFill="1"/>
    <xf numFmtId="0" fontId="40" fillId="2" borderId="0" xfId="16" applyFont="1" applyFill="1"/>
    <xf numFmtId="0" fontId="42" fillId="2" borderId="0" xfId="16" applyFont="1" applyFill="1"/>
    <xf numFmtId="0" fontId="40" fillId="2" borderId="1" xfId="16" applyFont="1" applyFill="1" applyBorder="1" applyAlignment="1">
      <alignment wrapText="1"/>
    </xf>
    <xf numFmtId="0" fontId="43" fillId="2" borderId="0" xfId="16" applyFont="1" applyFill="1"/>
    <xf numFmtId="0" fontId="42" fillId="13" borderId="0" xfId="16" applyFont="1" applyFill="1"/>
    <xf numFmtId="0" fontId="0" fillId="0" borderId="4" xfId="0" applyBorder="1"/>
    <xf numFmtId="0" fontId="2" fillId="0" borderId="4" xfId="80" applyNumberFormat="1" applyFont="1" applyFill="1" applyBorder="1" applyAlignment="1" applyProtection="1">
      <alignment wrapText="1"/>
    </xf>
    <xf numFmtId="0" fontId="0" fillId="0" borderId="4" xfId="0" applyFill="1" applyBorder="1"/>
    <xf numFmtId="0" fontId="50" fillId="0" borderId="4" xfId="0" applyFont="1" applyFill="1" applyBorder="1"/>
    <xf numFmtId="0" fontId="2" fillId="0" borderId="9" xfId="1" applyFont="1" applyFill="1" applyBorder="1"/>
    <xf numFmtId="0" fontId="2" fillId="0" borderId="8" xfId="1" applyFont="1" applyFill="1" applyBorder="1"/>
    <xf numFmtId="164" fontId="2" fillId="0" borderId="4" xfId="11" applyNumberFormat="1" applyFont="1" applyBorder="1"/>
    <xf numFmtId="164" fontId="2" fillId="0" borderId="9" xfId="11" applyNumberFormat="1" applyFont="1" applyFill="1" applyBorder="1"/>
    <xf numFmtId="0" fontId="2" fillId="0" borderId="67" xfId="1" applyFont="1" applyFill="1" applyBorder="1"/>
    <xf numFmtId="0" fontId="2" fillId="0" borderId="14" xfId="1" applyFont="1" applyFill="1" applyBorder="1" applyAlignment="1">
      <alignment horizontal="center"/>
    </xf>
    <xf numFmtId="0" fontId="2" fillId="0" borderId="67" xfId="1" applyFont="1" applyFill="1" applyBorder="1" applyAlignment="1">
      <alignment horizontal="center"/>
    </xf>
    <xf numFmtId="14" fontId="2" fillId="0" borderId="67" xfId="1" applyNumberFormat="1" applyFont="1" applyFill="1" applyBorder="1"/>
    <xf numFmtId="164" fontId="2" fillId="0" borderId="6" xfId="11" applyNumberFormat="1" applyFont="1" applyFill="1" applyBorder="1"/>
    <xf numFmtId="164" fontId="0" fillId="0" borderId="0" xfId="0" applyNumberFormat="1"/>
    <xf numFmtId="0" fontId="2" fillId="11" borderId="10" xfId="1" applyFont="1" applyFill="1" applyBorder="1" applyAlignment="1">
      <alignment wrapText="1"/>
    </xf>
    <xf numFmtId="0" fontId="2" fillId="11" borderId="7" xfId="1" applyFont="1" applyFill="1" applyBorder="1" applyAlignment="1">
      <alignment wrapText="1"/>
    </xf>
    <xf numFmtId="164" fontId="2" fillId="0" borderId="0" xfId="24" applyNumberFormat="1"/>
    <xf numFmtId="6" fontId="105" fillId="0" borderId="4" xfId="0" applyNumberFormat="1" applyFont="1" applyBorder="1"/>
    <xf numFmtId="0" fontId="5" fillId="4" borderId="59" xfId="31" applyFont="1" applyFill="1" applyBorder="1" applyAlignment="1">
      <alignment horizontal="center" vertical="center" wrapText="1"/>
    </xf>
    <xf numFmtId="0" fontId="5" fillId="4" borderId="60" xfId="31" applyFont="1" applyFill="1" applyBorder="1" applyAlignment="1">
      <alignment horizontal="center" vertical="center"/>
    </xf>
    <xf numFmtId="0" fontId="5" fillId="4" borderId="60" xfId="31" applyFont="1" applyFill="1" applyBorder="1" applyAlignment="1">
      <alignment horizontal="center" vertical="center" wrapText="1"/>
    </xf>
    <xf numFmtId="0" fontId="5" fillId="2" borderId="4" xfId="31" applyFont="1" applyFill="1" applyBorder="1" applyAlignment="1">
      <alignment horizontal="center" vertical="center"/>
    </xf>
    <xf numFmtId="0" fontId="105" fillId="0" borderId="4" xfId="0" applyFont="1" applyBorder="1" applyAlignment="1">
      <alignment wrapText="1"/>
    </xf>
    <xf numFmtId="38" fontId="5" fillId="6" borderId="0" xfId="1" applyNumberFormat="1" applyFont="1" applyFill="1"/>
    <xf numFmtId="0" fontId="105" fillId="0" borderId="4" xfId="0" applyFont="1" applyBorder="1"/>
    <xf numFmtId="42" fontId="15" fillId="0" borderId="8" xfId="1" applyNumberFormat="1" applyFont="1" applyFill="1" applyBorder="1" applyAlignment="1">
      <alignment vertical="top"/>
    </xf>
    <xf numFmtId="42" fontId="15" fillId="0" borderId="9" xfId="1" applyNumberFormat="1" applyFont="1" applyFill="1" applyBorder="1" applyAlignment="1">
      <alignment vertical="top"/>
    </xf>
    <xf numFmtId="42" fontId="15" fillId="0" borderId="10" xfId="1" applyNumberFormat="1" applyFont="1" applyFill="1" applyBorder="1" applyAlignment="1">
      <alignment vertical="top"/>
    </xf>
    <xf numFmtId="0" fontId="2" fillId="0" borderId="4" xfId="1" applyFont="1" applyFill="1" applyBorder="1" applyAlignment="1">
      <alignment horizontal="center"/>
    </xf>
    <xf numFmtId="0" fontId="0" fillId="0" borderId="0" xfId="0" applyAlignment="1">
      <alignment wrapText="1"/>
    </xf>
    <xf numFmtId="165" fontId="15" fillId="0" borderId="19" xfId="1" applyNumberFormat="1" applyFont="1" applyBorder="1" applyAlignment="1">
      <alignment vertical="top" wrapText="1"/>
    </xf>
    <xf numFmtId="0" fontId="5" fillId="2" borderId="4" xfId="1" applyFont="1" applyFill="1" applyBorder="1" applyAlignment="1">
      <alignment vertical="top" wrapText="1"/>
    </xf>
    <xf numFmtId="0" fontId="5" fillId="2" borderId="4" xfId="1" applyFont="1" applyFill="1" applyBorder="1" applyAlignment="1">
      <alignment vertical="top"/>
    </xf>
    <xf numFmtId="0" fontId="5" fillId="2" borderId="8" xfId="1" applyFont="1" applyFill="1" applyBorder="1" applyAlignment="1">
      <alignment wrapText="1"/>
    </xf>
    <xf numFmtId="0" fontId="8" fillId="6" borderId="0" xfId="1" applyFont="1" applyFill="1" applyAlignment="1">
      <alignment horizontal="left" vertical="center"/>
    </xf>
    <xf numFmtId="0" fontId="2" fillId="2" borderId="0" xfId="1" applyFont="1" applyFill="1"/>
    <xf numFmtId="0" fontId="2" fillId="0" borderId="64" xfId="1" applyFont="1" applyBorder="1" applyAlignment="1">
      <alignment horizontal="center" vertical="center" wrapText="1"/>
    </xf>
    <xf numFmtId="0" fontId="2" fillId="0" borderId="65"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67" xfId="1" applyFont="1" applyBorder="1"/>
    <xf numFmtId="9" fontId="2" fillId="0" borderId="61" xfId="23" applyFont="1" applyBorder="1"/>
    <xf numFmtId="164" fontId="2" fillId="0" borderId="61" xfId="11" applyNumberFormat="1" applyFont="1" applyBorder="1"/>
    <xf numFmtId="0" fontId="2" fillId="0" borderId="9" xfId="1" applyFont="1" applyBorder="1"/>
    <xf numFmtId="0" fontId="2" fillId="0" borderId="8" xfId="1" applyFont="1" applyBorder="1"/>
    <xf numFmtId="0" fontId="2" fillId="0" borderId="4" xfId="1" applyFont="1" applyBorder="1"/>
    <xf numFmtId="164" fontId="2" fillId="0" borderId="9" xfId="11" applyNumberFormat="1" applyFont="1" applyBorder="1"/>
    <xf numFmtId="9" fontId="2" fillId="0" borderId="5" xfId="23" applyFont="1" applyBorder="1"/>
    <xf numFmtId="164" fontId="2" fillId="0" borderId="5" xfId="11" applyNumberFormat="1" applyFont="1" applyBorder="1"/>
    <xf numFmtId="0" fontId="2" fillId="0" borderId="12" xfId="1" applyFont="1" applyBorder="1"/>
    <xf numFmtId="0" fontId="2" fillId="0" borderId="64" xfId="1" applyFont="1" applyBorder="1"/>
    <xf numFmtId="0" fontId="2" fillId="0" borderId="15" xfId="1" applyFont="1" applyBorder="1"/>
    <xf numFmtId="9" fontId="2" fillId="0" borderId="20" xfId="23" applyFont="1" applyBorder="1"/>
    <xf numFmtId="164" fontId="2" fillId="0" borderId="20" xfId="11" applyNumberFormat="1" applyFont="1" applyBorder="1"/>
    <xf numFmtId="164" fontId="2" fillId="0" borderId="7" xfId="11" applyNumberFormat="1" applyFont="1" applyBorder="1"/>
    <xf numFmtId="164" fontId="2" fillId="0" borderId="10" xfId="11" applyNumberFormat="1" applyFont="1" applyBorder="1"/>
    <xf numFmtId="164" fontId="2" fillId="0" borderId="13" xfId="11" applyNumberFormat="1" applyFont="1" applyBorder="1"/>
    <xf numFmtId="9" fontId="2" fillId="2" borderId="0" xfId="20" applyNumberFormat="1" applyFont="1" applyFill="1" applyBorder="1" applyProtection="1"/>
    <xf numFmtId="0" fontId="2" fillId="4" borderId="54" xfId="1" applyFont="1" applyFill="1" applyBorder="1" applyAlignment="1">
      <alignment horizontal="center" vertical="center" wrapText="1"/>
    </xf>
    <xf numFmtId="0" fontId="2" fillId="4" borderId="51" xfId="1" applyFont="1" applyFill="1" applyBorder="1" applyAlignment="1">
      <alignment horizontal="center" vertical="center" wrapText="1"/>
    </xf>
    <xf numFmtId="0" fontId="2" fillId="2" borderId="17" xfId="1" applyFont="1" applyFill="1" applyBorder="1"/>
    <xf numFmtId="0" fontId="2" fillId="4" borderId="1" xfId="1" applyFont="1" applyFill="1" applyBorder="1" applyAlignment="1">
      <alignment horizontal="center" vertical="center" wrapText="1"/>
    </xf>
    <xf numFmtId="0" fontId="2" fillId="0" borderId="4" xfId="198" applyFont="1" applyBorder="1" applyAlignment="1">
      <alignment wrapText="1"/>
    </xf>
    <xf numFmtId="0" fontId="2" fillId="0" borderId="4" xfId="198" applyNumberFormat="1" applyFont="1" applyFill="1" applyBorder="1" applyAlignment="1">
      <alignment horizontal="left" vertical="center" wrapText="1"/>
    </xf>
    <xf numFmtId="0" fontId="2" fillId="0" borderId="4" xfId="1" applyFont="1" applyFill="1" applyBorder="1"/>
    <xf numFmtId="165" fontId="15" fillId="2" borderId="19" xfId="1" applyNumberFormat="1" applyFont="1" applyFill="1" applyBorder="1" applyAlignment="1">
      <alignment vertical="top" wrapText="1"/>
    </xf>
    <xf numFmtId="0" fontId="2" fillId="0" borderId="8" xfId="1" applyFont="1" applyBorder="1" applyAlignment="1">
      <alignment wrapText="1"/>
    </xf>
    <xf numFmtId="164" fontId="13" fillId="12" borderId="43" xfId="11" applyNumberFormat="1" applyFont="1" applyFill="1" applyBorder="1"/>
    <xf numFmtId="9" fontId="13" fillId="12" borderId="30" xfId="23" applyFont="1" applyFill="1" applyBorder="1"/>
    <xf numFmtId="164" fontId="13" fillId="12" borderId="44" xfId="11" applyNumberFormat="1" applyFont="1" applyFill="1" applyBorder="1"/>
    <xf numFmtId="0" fontId="2" fillId="0" borderId="59" xfId="1" applyFont="1" applyBorder="1"/>
    <xf numFmtId="0" fontId="2" fillId="0" borderId="114" xfId="1" applyFont="1" applyBorder="1"/>
    <xf numFmtId="0" fontId="2" fillId="0" borderId="60" xfId="1" applyFont="1" applyFill="1" applyBorder="1" applyAlignment="1">
      <alignment horizontal="center"/>
    </xf>
    <xf numFmtId="0" fontId="2" fillId="0" borderId="114" xfId="1" applyFont="1" applyFill="1" applyBorder="1" applyAlignment="1">
      <alignment horizontal="center"/>
    </xf>
    <xf numFmtId="0" fontId="2" fillId="0" borderId="29" xfId="1" applyFont="1" applyBorder="1"/>
    <xf numFmtId="0" fontId="2" fillId="0" borderId="115" xfId="1" applyFont="1" applyBorder="1"/>
    <xf numFmtId="0" fontId="2" fillId="0" borderId="30" xfId="1" applyFont="1" applyBorder="1"/>
    <xf numFmtId="173" fontId="5" fillId="6" borderId="0" xfId="1" applyNumberFormat="1" applyFont="1" applyFill="1"/>
    <xf numFmtId="8" fontId="104" fillId="0" borderId="18" xfId="0" applyNumberFormat="1" applyFont="1" applyBorder="1"/>
    <xf numFmtId="0" fontId="13" fillId="3" borderId="3" xfId="1" applyFont="1" applyFill="1" applyBorder="1" applyAlignment="1">
      <alignment horizontal="center" vertical="center" wrapText="1"/>
    </xf>
    <xf numFmtId="0" fontId="2" fillId="2" borderId="116" xfId="1" applyFont="1" applyFill="1" applyBorder="1"/>
    <xf numFmtId="8" fontId="104" fillId="0" borderId="53" xfId="0" applyNumberFormat="1" applyFont="1" applyBorder="1"/>
    <xf numFmtId="8" fontId="104" fillId="0" borderId="58" xfId="0" applyNumberFormat="1" applyFont="1" applyBorder="1"/>
    <xf numFmtId="8" fontId="104" fillId="0" borderId="5" xfId="0" applyNumberFormat="1" applyFont="1" applyBorder="1"/>
    <xf numFmtId="8" fontId="104" fillId="0" borderId="55" xfId="0" applyNumberFormat="1" applyFont="1" applyBorder="1"/>
    <xf numFmtId="0" fontId="2" fillId="2" borderId="85" xfId="1" applyFont="1" applyFill="1" applyBorder="1" applyAlignment="1">
      <alignment wrapText="1"/>
    </xf>
    <xf numFmtId="0" fontId="2" fillId="2" borderId="18" xfId="1" applyFont="1" applyFill="1" applyBorder="1"/>
    <xf numFmtId="0" fontId="2" fillId="2" borderId="5" xfId="1" applyFont="1" applyFill="1" applyBorder="1"/>
    <xf numFmtId="0" fontId="2" fillId="0" borderId="5" xfId="1" applyFont="1" applyFill="1" applyBorder="1"/>
    <xf numFmtId="0" fontId="2" fillId="0" borderId="20" xfId="1" applyFont="1" applyFill="1" applyBorder="1"/>
    <xf numFmtId="0" fontId="5" fillId="0" borderId="46" xfId="1" applyFont="1" applyFill="1" applyBorder="1" applyAlignment="1">
      <alignment horizontal="right" vertical="center"/>
    </xf>
    <xf numFmtId="0" fontId="2" fillId="4" borderId="26" xfId="1" applyFont="1" applyFill="1" applyBorder="1" applyAlignment="1">
      <alignment horizontal="center" vertical="center" wrapText="1"/>
    </xf>
    <xf numFmtId="0" fontId="2" fillId="2" borderId="16" xfId="1" applyFont="1" applyFill="1" applyBorder="1"/>
    <xf numFmtId="0" fontId="2" fillId="2" borderId="9" xfId="1" applyFont="1" applyFill="1" applyBorder="1"/>
    <xf numFmtId="0" fontId="2" fillId="0" borderId="12" xfId="1" applyFont="1" applyFill="1" applyBorder="1"/>
    <xf numFmtId="8" fontId="104" fillId="0" borderId="20" xfId="0" applyNumberFormat="1" applyFont="1" applyBorder="1"/>
    <xf numFmtId="0" fontId="5" fillId="0" borderId="4" xfId="1" applyFont="1" applyFill="1" applyBorder="1" applyAlignment="1">
      <alignment horizontal="center"/>
    </xf>
    <xf numFmtId="0" fontId="5" fillId="0" borderId="4" xfId="1" applyFont="1" applyFill="1" applyBorder="1"/>
    <xf numFmtId="8" fontId="0" fillId="0" borderId="4" xfId="0" applyNumberFormat="1" applyFill="1" applyBorder="1"/>
    <xf numFmtId="44" fontId="5" fillId="0" borderId="4" xfId="8" applyFont="1" applyFill="1" applyBorder="1"/>
    <xf numFmtId="9" fontId="5" fillId="0" borderId="4" xfId="8" applyNumberFormat="1" applyFont="1" applyFill="1" applyBorder="1"/>
    <xf numFmtId="0" fontId="0" fillId="0" borderId="4" xfId="0" applyFill="1" applyBorder="1" applyAlignment="1">
      <alignment horizontal="right" wrapText="1"/>
    </xf>
    <xf numFmtId="0" fontId="0" fillId="0" borderId="4" xfId="0" applyFill="1" applyBorder="1" applyAlignment="1">
      <alignment wrapText="1"/>
    </xf>
    <xf numFmtId="0" fontId="5" fillId="0" borderId="4" xfId="1" applyFont="1" applyFill="1" applyBorder="1" applyAlignment="1">
      <alignment wrapText="1"/>
    </xf>
    <xf numFmtId="37" fontId="5" fillId="0" borderId="4" xfId="8" applyNumberFormat="1" applyFont="1" applyFill="1" applyBorder="1"/>
    <xf numFmtId="0" fontId="5" fillId="0" borderId="4" xfId="8" applyNumberFormat="1" applyFont="1" applyFill="1" applyBorder="1"/>
    <xf numFmtId="8" fontId="5" fillId="0" borderId="4" xfId="8" applyNumberFormat="1" applyFont="1" applyFill="1" applyBorder="1"/>
    <xf numFmtId="49" fontId="15" fillId="0" borderId="17" xfId="1" applyNumberFormat="1" applyFont="1" applyFill="1" applyBorder="1" applyAlignment="1">
      <alignment vertical="top"/>
    </xf>
    <xf numFmtId="165" fontId="15" fillId="0" borderId="17" xfId="1" applyNumberFormat="1" applyFont="1" applyFill="1" applyBorder="1" applyAlignment="1">
      <alignment vertical="top"/>
    </xf>
    <xf numFmtId="165" fontId="15" fillId="0" borderId="18" xfId="1" applyNumberFormat="1" applyFont="1" applyFill="1" applyBorder="1" applyAlignment="1">
      <alignment vertical="top"/>
    </xf>
    <xf numFmtId="165" fontId="15" fillId="2" borderId="18" xfId="1" applyNumberFormat="1" applyFont="1" applyFill="1" applyBorder="1" applyAlignment="1">
      <alignment vertical="top"/>
    </xf>
    <xf numFmtId="49" fontId="15" fillId="0" borderId="4" xfId="1" applyNumberFormat="1" applyFont="1" applyFill="1" applyBorder="1" applyAlignment="1">
      <alignment horizontal="center" wrapText="1"/>
    </xf>
    <xf numFmtId="49" fontId="15" fillId="0" borderId="16" xfId="1" applyNumberFormat="1" applyFont="1" applyFill="1" applyBorder="1" applyAlignment="1">
      <alignment vertical="top"/>
    </xf>
    <xf numFmtId="0" fontId="4" fillId="2" borderId="59" xfId="1" applyFont="1" applyFill="1" applyBorder="1"/>
    <xf numFmtId="0" fontId="14" fillId="2" borderId="60" xfId="1" applyFont="1" applyFill="1" applyBorder="1"/>
    <xf numFmtId="0" fontId="5" fillId="2" borderId="60" xfId="1" applyFont="1" applyFill="1" applyBorder="1"/>
    <xf numFmtId="0" fontId="14" fillId="2" borderId="60" xfId="1" applyFont="1" applyFill="1" applyBorder="1" applyAlignment="1">
      <alignment horizontal="center"/>
    </xf>
    <xf numFmtId="0" fontId="14" fillId="2" borderId="63" xfId="1" applyFont="1" applyFill="1" applyBorder="1" applyAlignment="1">
      <alignment horizontal="center"/>
    </xf>
    <xf numFmtId="49" fontId="15" fillId="0" borderId="28" xfId="1" applyNumberFormat="1" applyFont="1" applyFill="1" applyBorder="1" applyAlignment="1">
      <alignment horizontal="center" wrapText="1"/>
    </xf>
    <xf numFmtId="49" fontId="15" fillId="4" borderId="26" xfId="1" applyNumberFormat="1" applyFont="1" applyFill="1" applyBorder="1" applyAlignment="1">
      <alignment horizontal="center" wrapText="1"/>
    </xf>
    <xf numFmtId="49" fontId="15" fillId="4" borderId="27" xfId="1" applyNumberFormat="1" applyFont="1" applyFill="1" applyBorder="1" applyAlignment="1">
      <alignment horizontal="center" wrapText="1"/>
    </xf>
    <xf numFmtId="49" fontId="15" fillId="4" borderId="23" xfId="1" applyNumberFormat="1" applyFont="1" applyFill="1" applyBorder="1" applyAlignment="1">
      <alignment horizontal="center" wrapText="1"/>
    </xf>
    <xf numFmtId="49" fontId="15" fillId="0" borderId="16" xfId="1" applyNumberFormat="1" applyFont="1" applyFill="1" applyBorder="1" applyAlignment="1">
      <alignment horizontal="center" wrapText="1"/>
    </xf>
    <xf numFmtId="49" fontId="15" fillId="0" borderId="9" xfId="1" applyNumberFormat="1" applyFont="1" applyFill="1" applyBorder="1" applyAlignment="1">
      <alignment horizontal="center" wrapText="1"/>
    </xf>
    <xf numFmtId="37" fontId="15" fillId="0" borderId="28" xfId="1" applyNumberFormat="1" applyFont="1" applyFill="1" applyBorder="1" applyAlignment="1">
      <alignment wrapText="1"/>
    </xf>
    <xf numFmtId="37" fontId="15" fillId="0" borderId="4" xfId="1" applyNumberFormat="1" applyFont="1" applyFill="1" applyBorder="1" applyAlignment="1">
      <alignment wrapText="1"/>
    </xf>
    <xf numFmtId="0" fontId="5" fillId="2" borderId="2" xfId="1" applyFont="1" applyFill="1" applyBorder="1"/>
    <xf numFmtId="0" fontId="4" fillId="2" borderId="1" xfId="1" applyFont="1" applyFill="1" applyBorder="1" applyAlignment="1">
      <alignment horizontal="left" indent="1"/>
    </xf>
    <xf numFmtId="0" fontId="5" fillId="2" borderId="1" xfId="1" applyFont="1" applyFill="1" applyBorder="1"/>
    <xf numFmtId="42" fontId="5" fillId="6" borderId="0" xfId="1" applyNumberFormat="1" applyFont="1" applyFill="1"/>
    <xf numFmtId="0" fontId="5" fillId="0" borderId="8" xfId="1" applyFont="1" applyFill="1" applyBorder="1" applyAlignment="1">
      <alignment wrapText="1"/>
    </xf>
    <xf numFmtId="0" fontId="5" fillId="7" borderId="4" xfId="1" applyFont="1" applyFill="1" applyBorder="1" applyAlignment="1">
      <alignment horizontal="center"/>
    </xf>
    <xf numFmtId="0" fontId="0" fillId="7" borderId="4" xfId="0" applyFill="1" applyBorder="1"/>
    <xf numFmtId="0" fontId="5" fillId="7" borderId="4" xfId="1" applyFont="1" applyFill="1" applyBorder="1"/>
    <xf numFmtId="8" fontId="0" fillId="7" borderId="4" xfId="0" applyNumberFormat="1" applyFill="1" applyBorder="1"/>
    <xf numFmtId="44" fontId="5" fillId="7" borderId="4" xfId="8" applyFont="1" applyFill="1" applyBorder="1"/>
    <xf numFmtId="9" fontId="5" fillId="7" borderId="4" xfId="8" applyNumberFormat="1" applyFont="1" applyFill="1" applyBorder="1"/>
    <xf numFmtId="0" fontId="4" fillId="2" borderId="1" xfId="1" applyFont="1" applyFill="1" applyBorder="1"/>
    <xf numFmtId="0" fontId="4" fillId="6" borderId="1" xfId="1" applyFont="1" applyFill="1" applyBorder="1"/>
    <xf numFmtId="0" fontId="5" fillId="6" borderId="2" xfId="1" applyFont="1" applyFill="1" applyBorder="1"/>
    <xf numFmtId="164" fontId="5" fillId="6" borderId="2" xfId="8" applyNumberFormat="1" applyFont="1" applyFill="1" applyBorder="1"/>
    <xf numFmtId="0" fontId="5" fillId="6" borderId="1" xfId="1" applyFont="1" applyFill="1" applyBorder="1"/>
    <xf numFmtId="165" fontId="15" fillId="0" borderId="19" xfId="1" applyNumberFormat="1" applyFont="1" applyFill="1" applyBorder="1" applyAlignment="1">
      <alignment vertical="top" wrapText="1"/>
    </xf>
    <xf numFmtId="6" fontId="5" fillId="2" borderId="0" xfId="31" applyNumberFormat="1" applyFont="1" applyFill="1" applyBorder="1"/>
    <xf numFmtId="10" fontId="5" fillId="6" borderId="0" xfId="1" applyNumberFormat="1" applyFont="1" applyFill="1"/>
    <xf numFmtId="42" fontId="5" fillId="0" borderId="27" xfId="1" applyNumberFormat="1" applyFont="1" applyFill="1" applyBorder="1"/>
    <xf numFmtId="0" fontId="5" fillId="6" borderId="0" xfId="1" applyFont="1" applyFill="1" applyAlignment="1">
      <alignment wrapText="1"/>
    </xf>
    <xf numFmtId="0" fontId="5" fillId="0" borderId="49" xfId="1" applyFont="1" applyFill="1" applyBorder="1" applyAlignment="1">
      <alignment wrapText="1"/>
    </xf>
    <xf numFmtId="42" fontId="15" fillId="0" borderId="4" xfId="1" applyNumberFormat="1" applyFont="1" applyFill="1" applyBorder="1" applyAlignment="1">
      <alignment vertical="top" wrapText="1"/>
    </xf>
    <xf numFmtId="0" fontId="5" fillId="0" borderId="2" xfId="1" applyFont="1" applyFill="1" applyBorder="1" applyAlignment="1">
      <alignment wrapText="1"/>
    </xf>
    <xf numFmtId="38" fontId="15" fillId="0" borderId="17" xfId="1" applyNumberFormat="1" applyFont="1" applyBorder="1" applyAlignment="1">
      <alignment vertical="top" wrapText="1"/>
    </xf>
    <xf numFmtId="38" fontId="15" fillId="4" borderId="17" xfId="1" applyNumberFormat="1" applyFont="1" applyFill="1" applyBorder="1" applyAlignment="1">
      <alignment vertical="top" wrapText="1"/>
    </xf>
    <xf numFmtId="42" fontId="5" fillId="2" borderId="22" xfId="1" applyNumberFormat="1" applyFont="1" applyFill="1" applyBorder="1" applyAlignment="1">
      <alignment wrapText="1"/>
    </xf>
    <xf numFmtId="0" fontId="5" fillId="6" borderId="2" xfId="1" applyFont="1" applyFill="1" applyBorder="1" applyAlignment="1">
      <alignment wrapText="1"/>
    </xf>
    <xf numFmtId="42" fontId="5" fillId="0" borderId="2" xfId="1" applyNumberFormat="1" applyFont="1" applyFill="1" applyBorder="1"/>
    <xf numFmtId="42" fontId="5" fillId="0" borderId="3" xfId="1" applyNumberFormat="1" applyFont="1" applyFill="1" applyBorder="1"/>
    <xf numFmtId="10" fontId="5" fillId="0" borderId="0" xfId="1" applyNumberFormat="1" applyFont="1" applyFill="1" applyBorder="1"/>
    <xf numFmtId="6" fontId="105" fillId="0" borderId="0" xfId="0" applyNumberFormat="1" applyFont="1" applyFill="1" applyBorder="1"/>
    <xf numFmtId="0" fontId="5" fillId="6" borderId="0" xfId="1" applyFont="1" applyFill="1" applyAlignment="1"/>
    <xf numFmtId="0" fontId="4" fillId="6" borderId="0" xfId="1" applyFont="1" applyFill="1" applyBorder="1" applyAlignment="1"/>
    <xf numFmtId="0" fontId="5" fillId="6" borderId="0" xfId="1" applyFont="1" applyFill="1" applyBorder="1" applyAlignment="1"/>
    <xf numFmtId="0" fontId="105" fillId="0" borderId="4" xfId="0" applyFont="1" applyBorder="1" applyAlignment="1">
      <alignment horizontal="left" wrapText="1"/>
    </xf>
    <xf numFmtId="0" fontId="0" fillId="0" borderId="0" xfId="0" applyAlignment="1">
      <alignment wrapText="1"/>
    </xf>
    <xf numFmtId="0" fontId="0" fillId="0" borderId="0" xfId="0" applyAlignment="1"/>
    <xf numFmtId="0" fontId="5" fillId="2" borderId="0" xfId="1" applyFont="1" applyFill="1" applyBorder="1" applyAlignment="1">
      <alignment horizontal="left"/>
    </xf>
    <xf numFmtId="0" fontId="18" fillId="2" borderId="0" xfId="1" applyFont="1" applyFill="1" applyBorder="1" applyAlignment="1">
      <alignment horizontal="left" wrapText="1"/>
    </xf>
    <xf numFmtId="0" fontId="5" fillId="7" borderId="0" xfId="18" applyFont="1" applyFill="1" applyBorder="1"/>
    <xf numFmtId="0" fontId="4" fillId="2" borderId="0" xfId="18" applyFont="1" applyFill="1" applyBorder="1" applyAlignment="1"/>
    <xf numFmtId="0" fontId="5" fillId="0" borderId="0" xfId="18" applyFont="1" applyFill="1" applyBorder="1"/>
    <xf numFmtId="0" fontId="16" fillId="9" borderId="26" xfId="18" applyFont="1" applyFill="1" applyBorder="1" applyAlignment="1">
      <alignment horizontal="center" vertical="center"/>
    </xf>
    <xf numFmtId="0" fontId="16" fillId="9" borderId="27" xfId="18" applyFont="1" applyFill="1" applyBorder="1" applyAlignment="1">
      <alignment horizontal="center" vertical="center"/>
    </xf>
    <xf numFmtId="0" fontId="16" fillId="9" borderId="23" xfId="18" applyFont="1" applyFill="1" applyBorder="1" applyAlignment="1">
      <alignment horizontal="center" vertical="center"/>
    </xf>
    <xf numFmtId="0" fontId="4" fillId="2" borderId="0" xfId="18" applyFont="1" applyFill="1" applyBorder="1" applyAlignment="1">
      <alignment wrapText="1"/>
    </xf>
    <xf numFmtId="0" fontId="5" fillId="2" borderId="41" xfId="18" applyFont="1" applyFill="1" applyBorder="1" applyAlignment="1"/>
    <xf numFmtId="0" fontId="31" fillId="0" borderId="5" xfId="18" applyFont="1" applyFill="1" applyBorder="1" applyAlignment="1">
      <alignment vertical="top" wrapText="1"/>
    </xf>
    <xf numFmtId="0" fontId="5" fillId="0" borderId="11" xfId="18" applyFont="1" applyFill="1" applyBorder="1" applyAlignment="1">
      <alignment vertical="top" wrapText="1"/>
    </xf>
    <xf numFmtId="0" fontId="5" fillId="0" borderId="8" xfId="18" applyFont="1" applyFill="1" applyBorder="1" applyAlignment="1">
      <alignment vertical="top" wrapText="1"/>
    </xf>
    <xf numFmtId="0" fontId="4" fillId="2" borderId="34" xfId="18" applyFont="1" applyFill="1" applyBorder="1" applyAlignment="1">
      <alignment horizontal="center" vertical="center"/>
    </xf>
    <xf numFmtId="0" fontId="4" fillId="2" borderId="37" xfId="18" applyFont="1" applyFill="1" applyBorder="1" applyAlignment="1">
      <alignment horizontal="center" vertical="center"/>
    </xf>
    <xf numFmtId="0" fontId="2" fillId="0" borderId="70" xfId="18" applyFont="1" applyFill="1" applyBorder="1" applyAlignment="1">
      <alignment horizontal="left" wrapText="1"/>
    </xf>
    <xf numFmtId="0" fontId="0" fillId="0" borderId="71" xfId="0" applyFill="1" applyBorder="1" applyAlignment="1">
      <alignment horizontal="left" wrapText="1"/>
    </xf>
    <xf numFmtId="0" fontId="0" fillId="0" borderId="72" xfId="0" applyFill="1" applyBorder="1" applyAlignment="1">
      <alignment horizontal="left" wrapText="1"/>
    </xf>
    <xf numFmtId="0" fontId="2" fillId="0" borderId="73" xfId="18" applyFont="1" applyFill="1" applyBorder="1" applyAlignment="1">
      <alignment horizontal="left" wrapText="1"/>
    </xf>
    <xf numFmtId="0" fontId="0" fillId="0" borderId="0" xfId="0" applyFill="1" applyBorder="1" applyAlignment="1">
      <alignment horizontal="left" wrapText="1"/>
    </xf>
    <xf numFmtId="0" fontId="0" fillId="0" borderId="69" xfId="0" applyFill="1" applyBorder="1" applyAlignment="1">
      <alignment horizontal="left" wrapText="1"/>
    </xf>
    <xf numFmtId="0" fontId="2" fillId="0" borderId="80" xfId="18" applyFont="1" applyFill="1" applyBorder="1" applyAlignment="1">
      <alignment horizontal="left" wrapText="1"/>
    </xf>
    <xf numFmtId="0" fontId="0" fillId="0" borderId="81" xfId="0" applyFill="1" applyBorder="1" applyAlignment="1">
      <alignment horizontal="left" wrapText="1"/>
    </xf>
    <xf numFmtId="0" fontId="0" fillId="0" borderId="82" xfId="0" applyFill="1" applyBorder="1" applyAlignment="1">
      <alignment horizontal="left" wrapText="1"/>
    </xf>
    <xf numFmtId="0" fontId="2" fillId="0" borderId="70" xfId="18" applyFont="1" applyBorder="1" applyAlignment="1">
      <alignment horizontal="left" wrapText="1"/>
    </xf>
    <xf numFmtId="0" fontId="0" fillId="0" borderId="71" xfId="0" applyBorder="1" applyAlignment="1">
      <alignment horizontal="left" wrapText="1"/>
    </xf>
    <xf numFmtId="0" fontId="0" fillId="0" borderId="72" xfId="0" applyBorder="1" applyAlignment="1">
      <alignment horizontal="left" wrapText="1"/>
    </xf>
    <xf numFmtId="0" fontId="2" fillId="0" borderId="73" xfId="18" applyFont="1" applyBorder="1" applyAlignment="1">
      <alignment horizontal="left" wrapText="1"/>
    </xf>
    <xf numFmtId="0" fontId="0" fillId="0" borderId="0" xfId="0" applyBorder="1" applyAlignment="1">
      <alignment horizontal="left" wrapText="1"/>
    </xf>
    <xf numFmtId="0" fontId="0" fillId="0" borderId="69" xfId="0" applyBorder="1" applyAlignment="1">
      <alignment horizontal="left" wrapText="1"/>
    </xf>
    <xf numFmtId="0" fontId="2" fillId="0" borderId="80" xfId="18" applyFont="1" applyBorder="1" applyAlignment="1">
      <alignment horizontal="left" wrapText="1"/>
    </xf>
    <xf numFmtId="0" fontId="0" fillId="0" borderId="81" xfId="0" applyBorder="1" applyAlignment="1">
      <alignment horizontal="left" wrapText="1"/>
    </xf>
    <xf numFmtId="0" fontId="0" fillId="0" borderId="82" xfId="0" applyBorder="1" applyAlignment="1">
      <alignment horizontal="left" wrapText="1"/>
    </xf>
    <xf numFmtId="0" fontId="9" fillId="2" borderId="34" xfId="18" applyFont="1" applyFill="1" applyBorder="1" applyAlignment="1">
      <alignment horizontal="center" vertical="center"/>
    </xf>
    <xf numFmtId="0" fontId="13" fillId="2" borderId="1" xfId="17" applyFont="1" applyFill="1" applyBorder="1" applyAlignment="1">
      <alignment horizontal="left" vertical="center" wrapText="1"/>
    </xf>
    <xf numFmtId="0" fontId="13" fillId="2" borderId="2" xfId="17" applyFont="1" applyFill="1" applyBorder="1" applyAlignment="1">
      <alignment horizontal="left" vertical="center" wrapText="1"/>
    </xf>
    <xf numFmtId="0" fontId="13" fillId="2" borderId="3" xfId="17" applyFont="1" applyFill="1" applyBorder="1" applyAlignment="1">
      <alignment horizontal="left" vertical="center" wrapText="1"/>
    </xf>
    <xf numFmtId="0" fontId="13" fillId="2" borderId="0" xfId="17" applyFont="1" applyFill="1" applyAlignment="1">
      <alignment horizontal="left" wrapText="1"/>
    </xf>
    <xf numFmtId="0" fontId="13" fillId="6" borderId="1" xfId="1" applyFont="1" applyFill="1" applyBorder="1" applyAlignment="1">
      <alignment horizontal="center" vertical="center" wrapText="1"/>
    </xf>
    <xf numFmtId="0" fontId="2" fillId="0" borderId="3" xfId="1" applyFont="1" applyBorder="1" applyAlignment="1"/>
    <xf numFmtId="0" fontId="13" fillId="6" borderId="2" xfId="1" applyFont="1" applyFill="1" applyBorder="1" applyAlignment="1">
      <alignment horizontal="center" vertical="center" wrapText="1"/>
    </xf>
    <xf numFmtId="164" fontId="5" fillId="10" borderId="4" xfId="11" applyNumberFormat="1" applyFont="1" applyFill="1" applyBorder="1" applyAlignment="1">
      <alignment horizontal="center" vertical="center" wrapText="1"/>
    </xf>
    <xf numFmtId="0" fontId="4" fillId="10" borderId="4" xfId="1" applyFont="1" applyFill="1" applyBorder="1" applyAlignment="1">
      <alignment horizontal="center" vertical="center"/>
    </xf>
    <xf numFmtId="0" fontId="5" fillId="7" borderId="4" xfId="1" applyFont="1" applyFill="1" applyBorder="1" applyAlignment="1">
      <alignment horizontal="center" vertical="center" wrapText="1"/>
    </xf>
    <xf numFmtId="0" fontId="2" fillId="7" borderId="4" xfId="1" applyFill="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164" fontId="4" fillId="11" borderId="1" xfId="11" applyNumberFormat="1" applyFont="1" applyFill="1" applyBorder="1" applyAlignment="1">
      <alignment horizontal="center" vertical="center" wrapText="1"/>
    </xf>
    <xf numFmtId="164" fontId="4" fillId="11" borderId="2" xfId="11" applyNumberFormat="1" applyFont="1" applyFill="1" applyBorder="1" applyAlignment="1">
      <alignment horizontal="center" vertical="center" wrapText="1"/>
    </xf>
    <xf numFmtId="164" fontId="4" fillId="11" borderId="3" xfId="11" applyNumberFormat="1" applyFont="1" applyFill="1" applyBorder="1" applyAlignment="1">
      <alignment horizontal="center" vertical="center" wrapText="1"/>
    </xf>
    <xf numFmtId="0" fontId="2" fillId="0" borderId="59"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8" xfId="1" applyFont="1" applyBorder="1" applyAlignment="1">
      <alignment horizontal="center" vertical="center" wrapText="1"/>
    </xf>
    <xf numFmtId="0" fontId="2" fillId="6" borderId="60" xfId="1" applyFont="1" applyFill="1" applyBorder="1" applyAlignment="1">
      <alignment horizontal="center" vertical="center"/>
    </xf>
    <xf numFmtId="0" fontId="2" fillId="6" borderId="30" xfId="1" applyFont="1" applyFill="1" applyBorder="1" applyAlignment="1">
      <alignment horizontal="center" vertical="center"/>
    </xf>
    <xf numFmtId="0" fontId="2" fillId="0" borderId="61"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50" xfId="1" applyFont="1" applyBorder="1" applyAlignment="1">
      <alignment horizontal="center" vertical="center" wrapText="1"/>
    </xf>
    <xf numFmtId="164" fontId="2" fillId="0" borderId="59" xfId="11" applyNumberFormat="1" applyFont="1" applyFill="1" applyBorder="1" applyAlignment="1">
      <alignment horizontal="center" vertical="center" wrapText="1"/>
    </xf>
    <xf numFmtId="164" fontId="2" fillId="0" borderId="29" xfId="11" quotePrefix="1" applyNumberFormat="1" applyFont="1" applyFill="1" applyBorder="1" applyAlignment="1">
      <alignment horizontal="center" vertical="center" wrapText="1"/>
    </xf>
    <xf numFmtId="9" fontId="2" fillId="0" borderId="60" xfId="23" applyFont="1" applyBorder="1" applyAlignment="1">
      <alignment horizontal="center" vertical="center" wrapText="1"/>
    </xf>
    <xf numFmtId="9" fontId="2" fillId="0" borderId="30" xfId="23" applyFont="1" applyBorder="1" applyAlignment="1">
      <alignment horizontal="center" vertical="center" wrapText="1"/>
    </xf>
    <xf numFmtId="0" fontId="2" fillId="11" borderId="60" xfId="1" applyFont="1" applyFill="1" applyBorder="1" applyAlignment="1">
      <alignment horizontal="center" vertical="center" wrapText="1"/>
    </xf>
    <xf numFmtId="0" fontId="2" fillId="11" borderId="30" xfId="1" applyFont="1" applyFill="1" applyBorder="1" applyAlignment="1">
      <alignment horizontal="center" vertical="center" wrapText="1"/>
    </xf>
    <xf numFmtId="0" fontId="2" fillId="11" borderId="63" xfId="1" applyFont="1" applyFill="1" applyBorder="1" applyAlignment="1">
      <alignment horizontal="center" vertical="center" wrapText="1"/>
    </xf>
    <xf numFmtId="0" fontId="2" fillId="11" borderId="31" xfId="1" applyFont="1" applyFill="1" applyBorder="1" applyAlignment="1">
      <alignment horizontal="center" vertical="center" wrapText="1"/>
    </xf>
    <xf numFmtId="164" fontId="2" fillId="0" borderId="63" xfId="11" quotePrefix="1" applyNumberFormat="1" applyFont="1" applyFill="1" applyBorder="1" applyAlignment="1">
      <alignment horizontal="center" vertical="center" wrapText="1"/>
    </xf>
    <xf numFmtId="164" fontId="2" fillId="0" borderId="31" xfId="11" quotePrefix="1" applyNumberFormat="1" applyFont="1" applyFill="1" applyBorder="1" applyAlignment="1">
      <alignment horizontal="center" vertical="center" wrapText="1"/>
    </xf>
    <xf numFmtId="9" fontId="2" fillId="0" borderId="59" xfId="23" quotePrefix="1" applyFont="1" applyFill="1" applyBorder="1" applyAlignment="1">
      <alignment horizontal="center" vertical="center" wrapText="1"/>
    </xf>
    <xf numFmtId="9" fontId="2" fillId="0" borderId="29" xfId="23" quotePrefix="1" applyFont="1" applyFill="1" applyBorder="1" applyAlignment="1">
      <alignment horizontal="center" vertical="center" wrapText="1"/>
    </xf>
    <xf numFmtId="164" fontId="2" fillId="0" borderId="62" xfId="11" applyNumberFormat="1" applyFont="1" applyBorder="1" applyAlignment="1">
      <alignment horizontal="center" vertical="center" wrapText="1"/>
    </xf>
    <xf numFmtId="164" fontId="2" fillId="0" borderId="66" xfId="11" applyNumberFormat="1" applyFont="1" applyBorder="1" applyAlignment="1">
      <alignment horizontal="center" vertical="center" wrapText="1"/>
    </xf>
    <xf numFmtId="164" fontId="2" fillId="0" borderId="60" xfId="11" quotePrefix="1" applyNumberFormat="1" applyFont="1" applyFill="1" applyBorder="1" applyAlignment="1">
      <alignment horizontal="center" vertical="center" wrapText="1"/>
    </xf>
    <xf numFmtId="164" fontId="2" fillId="0" borderId="30" xfId="11" quotePrefix="1" applyNumberFormat="1" applyFont="1" applyFill="1" applyBorder="1" applyAlignment="1">
      <alignment horizontal="center" vertical="center" wrapText="1"/>
    </xf>
    <xf numFmtId="0" fontId="2" fillId="11" borderId="46" xfId="1" applyFont="1" applyFill="1" applyBorder="1" applyAlignment="1">
      <alignment horizontal="center" vertical="center" wrapText="1"/>
    </xf>
    <xf numFmtId="0" fontId="2" fillId="11" borderId="43" xfId="1" applyFont="1" applyFill="1" applyBorder="1" applyAlignment="1">
      <alignment horizontal="center" vertical="center" wrapText="1"/>
    </xf>
    <xf numFmtId="164" fontId="2" fillId="0" borderId="73" xfId="11" applyNumberFormat="1" applyFont="1" applyBorder="1" applyAlignment="1">
      <alignment horizontal="center" vertical="center" wrapText="1"/>
    </xf>
    <xf numFmtId="164" fontId="2" fillId="0" borderId="59" xfId="11" quotePrefix="1" applyNumberFormat="1" applyFont="1" applyFill="1" applyBorder="1" applyAlignment="1">
      <alignment horizontal="center" vertical="center" wrapText="1"/>
    </xf>
    <xf numFmtId="0" fontId="2" fillId="6" borderId="28" xfId="1" applyFont="1" applyFill="1" applyBorder="1" applyAlignment="1">
      <alignment horizontal="center" vertical="center"/>
    </xf>
    <xf numFmtId="0" fontId="60" fillId="10" borderId="55" xfId="19" applyFont="1" applyFill="1" applyBorder="1" applyAlignment="1">
      <alignment horizontal="center"/>
    </xf>
    <xf numFmtId="0" fontId="60" fillId="10" borderId="41" xfId="19" applyFont="1" applyFill="1" applyBorder="1" applyAlignment="1">
      <alignment horizontal="center"/>
    </xf>
    <xf numFmtId="0" fontId="60" fillId="10" borderId="0" xfId="19" applyFont="1" applyFill="1" applyBorder="1" applyAlignment="1">
      <alignment horizontal="center"/>
    </xf>
    <xf numFmtId="0" fontId="60" fillId="10" borderId="85" xfId="19" applyFont="1" applyFill="1" applyBorder="1" applyAlignment="1">
      <alignment horizontal="center"/>
    </xf>
    <xf numFmtId="0" fontId="44" fillId="0" borderId="33" xfId="19" applyFont="1" applyBorder="1" applyAlignment="1">
      <alignment horizontal="center"/>
    </xf>
    <xf numFmtId="0" fontId="44" fillId="0" borderId="0" xfId="19" applyFont="1" applyBorder="1" applyAlignment="1">
      <alignment horizontal="center"/>
    </xf>
    <xf numFmtId="0" fontId="44" fillId="0" borderId="40" xfId="19" applyFont="1" applyBorder="1" applyAlignment="1">
      <alignment horizontal="center"/>
    </xf>
    <xf numFmtId="0" fontId="44" fillId="0" borderId="43" xfId="19" applyFont="1" applyBorder="1" applyAlignment="1">
      <alignment horizontal="center"/>
    </xf>
    <xf numFmtId="0" fontId="44" fillId="0" borderId="44" xfId="19" applyFont="1" applyBorder="1" applyAlignment="1">
      <alignment horizontal="center"/>
    </xf>
    <xf numFmtId="0" fontId="44" fillId="0" borderId="45" xfId="19" applyFont="1" applyBorder="1" applyAlignment="1">
      <alignment horizontal="center"/>
    </xf>
    <xf numFmtId="2" fontId="0" fillId="0" borderId="0" xfId="16" applyNumberFormat="1" applyFont="1" applyFill="1" applyAlignment="1">
      <alignment horizontal="left" wrapText="1"/>
    </xf>
    <xf numFmtId="2" fontId="2" fillId="0" borderId="0" xfId="16" applyNumberFormat="1" applyFont="1" applyFill="1" applyAlignment="1">
      <alignment horizontal="left" wrapText="1"/>
    </xf>
    <xf numFmtId="171" fontId="2" fillId="2" borderId="0" xfId="16" applyNumberFormat="1" applyFont="1" applyFill="1" applyBorder="1" applyAlignment="1">
      <alignment horizontal="left" wrapText="1"/>
    </xf>
    <xf numFmtId="37" fontId="2" fillId="0" borderId="0" xfId="28" quotePrefix="1" applyNumberFormat="1" applyFont="1" applyFill="1" applyAlignment="1">
      <alignment horizontal="left" wrapText="1"/>
    </xf>
    <xf numFmtId="37" fontId="2" fillId="13" borderId="0" xfId="1" applyNumberFormat="1" applyFont="1" applyFill="1" applyAlignment="1">
      <alignment horizontal="left" wrapText="1"/>
    </xf>
    <xf numFmtId="37" fontId="2" fillId="13" borderId="0" xfId="28" applyNumberFormat="1" applyFont="1" applyFill="1" applyAlignment="1" applyProtection="1">
      <alignment horizontal="left" wrapText="1"/>
    </xf>
    <xf numFmtId="0" fontId="50" fillId="13" borderId="0" xfId="15" applyFont="1" applyFill="1" applyAlignment="1">
      <alignment horizontal="left" wrapText="1"/>
    </xf>
    <xf numFmtId="49" fontId="42" fillId="13" borderId="4" xfId="1" applyNumberFormat="1" applyFont="1" applyFill="1" applyBorder="1" applyAlignment="1">
      <alignment horizontal="left" wrapText="1"/>
    </xf>
    <xf numFmtId="37" fontId="13" fillId="13" borderId="5" xfId="27" applyNumberFormat="1" applyFont="1" applyFill="1" applyBorder="1" applyAlignment="1">
      <alignment horizontal="left" vertical="center"/>
    </xf>
    <xf numFmtId="37" fontId="13" fillId="13" borderId="11" xfId="27" applyNumberFormat="1" applyFont="1" applyFill="1" applyBorder="1" applyAlignment="1">
      <alignment horizontal="left" vertical="center"/>
    </xf>
    <xf numFmtId="37" fontId="13" fillId="13" borderId="8" xfId="27" applyNumberFormat="1" applyFont="1" applyFill="1" applyBorder="1" applyAlignment="1">
      <alignment horizontal="left" vertical="center"/>
    </xf>
    <xf numFmtId="37" fontId="2" fillId="2" borderId="70" xfId="1" applyNumberFormat="1" applyFont="1" applyFill="1" applyBorder="1" applyAlignment="1">
      <alignment horizontal="left" vertical="center" wrapText="1"/>
    </xf>
    <xf numFmtId="37" fontId="2" fillId="2" borderId="71" xfId="1" applyNumberFormat="1" applyFont="1" applyFill="1" applyBorder="1" applyAlignment="1">
      <alignment horizontal="left" vertical="center" wrapText="1"/>
    </xf>
    <xf numFmtId="37" fontId="2" fillId="2" borderId="72" xfId="1" applyNumberFormat="1" applyFont="1" applyFill="1" applyBorder="1" applyAlignment="1">
      <alignment horizontal="left" vertical="center" wrapText="1"/>
    </xf>
    <xf numFmtId="37" fontId="2" fillId="2" borderId="18" xfId="1" applyNumberFormat="1" applyFont="1" applyFill="1" applyBorder="1" applyAlignment="1">
      <alignment horizontal="left" vertical="center" wrapText="1"/>
    </xf>
    <xf numFmtId="37" fontId="2" fillId="2" borderId="41" xfId="1" applyNumberFormat="1" applyFont="1" applyFill="1" applyBorder="1" applyAlignment="1">
      <alignment horizontal="left" vertical="center" wrapText="1"/>
    </xf>
    <xf numFmtId="37" fontId="2" fillId="2" borderId="52" xfId="1" applyNumberFormat="1" applyFont="1" applyFill="1" applyBorder="1" applyAlignment="1">
      <alignment horizontal="left" vertical="center" wrapText="1"/>
    </xf>
    <xf numFmtId="37" fontId="2" fillId="13" borderId="70" xfId="1" applyNumberFormat="1" applyFont="1" applyFill="1" applyBorder="1" applyAlignment="1">
      <alignment horizontal="center" wrapText="1"/>
    </xf>
    <xf numFmtId="37" fontId="2" fillId="13" borderId="71" xfId="1" applyNumberFormat="1" applyFont="1" applyFill="1" applyBorder="1" applyAlignment="1">
      <alignment horizontal="center" wrapText="1"/>
    </xf>
    <xf numFmtId="37" fontId="2" fillId="13" borderId="72" xfId="1" applyNumberFormat="1" applyFont="1" applyFill="1" applyBorder="1" applyAlignment="1">
      <alignment horizontal="center" wrapText="1"/>
    </xf>
    <xf numFmtId="37" fontId="2" fillId="13" borderId="18" xfId="1" applyNumberFormat="1" applyFont="1" applyFill="1" applyBorder="1" applyAlignment="1">
      <alignment horizontal="center" wrapText="1"/>
    </xf>
    <xf numFmtId="37" fontId="2" fillId="13" borderId="41" xfId="1" applyNumberFormat="1" applyFont="1" applyFill="1" applyBorder="1" applyAlignment="1">
      <alignment horizontal="center" wrapText="1"/>
    </xf>
    <xf numFmtId="37" fontId="2" fillId="13" borderId="52" xfId="1" applyNumberFormat="1" applyFont="1" applyFill="1" applyBorder="1" applyAlignment="1">
      <alignment horizontal="center" wrapText="1"/>
    </xf>
    <xf numFmtId="37" fontId="2" fillId="13" borderId="4" xfId="27" applyNumberFormat="1" applyFont="1" applyFill="1" applyBorder="1" applyAlignment="1">
      <alignment horizontal="left" wrapText="1"/>
    </xf>
    <xf numFmtId="37" fontId="2" fillId="13" borderId="5" xfId="27" applyNumberFormat="1" applyFont="1" applyFill="1" applyBorder="1" applyAlignment="1">
      <alignment horizontal="center"/>
    </xf>
    <xf numFmtId="37" fontId="2" fillId="13" borderId="8" xfId="27" applyNumberFormat="1" applyFont="1" applyFill="1" applyBorder="1" applyAlignment="1">
      <alignment horizontal="center"/>
    </xf>
    <xf numFmtId="0" fontId="50" fillId="13" borderId="0" xfId="15" applyFont="1" applyFill="1" applyBorder="1" applyAlignment="1">
      <alignment horizontal="left" wrapText="1"/>
    </xf>
    <xf numFmtId="37" fontId="2" fillId="2" borderId="70" xfId="27" applyNumberFormat="1" applyFont="1" applyFill="1" applyBorder="1" applyAlignment="1">
      <alignment horizontal="center"/>
    </xf>
    <xf numFmtId="37" fontId="2" fillId="2" borderId="18" xfId="27" applyNumberFormat="1" applyFont="1" applyFill="1" applyBorder="1" applyAlignment="1">
      <alignment horizontal="center"/>
    </xf>
    <xf numFmtId="37" fontId="2" fillId="2" borderId="4" xfId="27" applyNumberFormat="1" applyFont="1" applyFill="1" applyBorder="1" applyAlignment="1">
      <alignment horizontal="center"/>
    </xf>
    <xf numFmtId="37" fontId="2" fillId="2" borderId="4" xfId="27" applyNumberFormat="1" applyFont="1" applyFill="1" applyBorder="1" applyAlignment="1">
      <alignment horizontal="center" wrapText="1"/>
    </xf>
    <xf numFmtId="0" fontId="51" fillId="2" borderId="0" xfId="15" applyFont="1" applyFill="1" applyBorder="1" applyAlignment="1">
      <alignment horizontal="left"/>
    </xf>
    <xf numFmtId="0" fontId="50" fillId="2" borderId="0" xfId="15" applyFont="1" applyFill="1" applyBorder="1" applyAlignment="1">
      <alignment horizontal="left" wrapText="1"/>
    </xf>
    <xf numFmtId="0" fontId="51" fillId="2" borderId="0" xfId="15" applyFont="1" applyFill="1" applyBorder="1" applyAlignment="1">
      <alignment horizontal="left" wrapText="1"/>
    </xf>
    <xf numFmtId="0" fontId="51" fillId="13" borderId="0" xfId="15" applyFont="1" applyFill="1" applyBorder="1" applyAlignment="1">
      <alignment horizontal="left" wrapText="1"/>
    </xf>
    <xf numFmtId="17" fontId="50" fillId="13" borderId="0" xfId="15" applyNumberFormat="1" applyFont="1" applyFill="1" applyBorder="1" applyAlignment="1">
      <alignment horizontal="left" wrapText="1"/>
    </xf>
    <xf numFmtId="37" fontId="2" fillId="13" borderId="0" xfId="27" applyNumberFormat="1" applyFont="1" applyFill="1" applyAlignment="1" applyProtection="1">
      <alignment horizontal="left" wrapText="1"/>
    </xf>
    <xf numFmtId="37" fontId="2" fillId="13" borderId="0" xfId="27" applyNumberFormat="1" applyFont="1" applyFill="1" applyAlignment="1">
      <alignment horizontal="left" wrapText="1"/>
    </xf>
    <xf numFmtId="0" fontId="68" fillId="17" borderId="4" xfId="0" applyFont="1" applyFill="1" applyBorder="1" applyAlignment="1">
      <alignment horizontal="center" vertical="center" wrapText="1"/>
    </xf>
    <xf numFmtId="0" fontId="68" fillId="18" borderId="4" xfId="0" applyFont="1" applyFill="1" applyBorder="1" applyAlignment="1">
      <alignment horizontal="center" vertical="center" wrapText="1"/>
    </xf>
  </cellXfs>
  <cellStyles count="206">
    <cellStyle name="20% - Accent1" xfId="107" builtinId="30" customBuiltin="1"/>
    <cellStyle name="20% - Accent1 2" xfId="33"/>
    <cellStyle name="20% - Accent1 2 2" xfId="173"/>
    <cellStyle name="20% - Accent2" xfId="111" builtinId="34" customBuiltin="1"/>
    <cellStyle name="20% - Accent2 2" xfId="34"/>
    <cellStyle name="20% - Accent2 2 2" xfId="175"/>
    <cellStyle name="20% - Accent3" xfId="115" builtinId="38" customBuiltin="1"/>
    <cellStyle name="20% - Accent3 2" xfId="35"/>
    <cellStyle name="20% - Accent3 2 2" xfId="177"/>
    <cellStyle name="20% - Accent4" xfId="119" builtinId="42" customBuiltin="1"/>
    <cellStyle name="20% - Accent4 2" xfId="36"/>
    <cellStyle name="20% - Accent4 2 2" xfId="179"/>
    <cellStyle name="20% - Accent5" xfId="123" builtinId="46" customBuiltin="1"/>
    <cellStyle name="20% - Accent5 2" xfId="37"/>
    <cellStyle name="20% - Accent5 2 2" xfId="181"/>
    <cellStyle name="20% - Accent6" xfId="127" builtinId="50" customBuiltin="1"/>
    <cellStyle name="20% - Accent6 2" xfId="38"/>
    <cellStyle name="20% - Accent6 2 2" xfId="183"/>
    <cellStyle name="40% - Accent1" xfId="108" builtinId="31" customBuiltin="1"/>
    <cellStyle name="40% - Accent1 2" xfId="39"/>
    <cellStyle name="40% - Accent1 2 2" xfId="174"/>
    <cellStyle name="40% - Accent2" xfId="112" builtinId="35" customBuiltin="1"/>
    <cellStyle name="40% - Accent2 2" xfId="40"/>
    <cellStyle name="40% - Accent2 2 2" xfId="176"/>
    <cellStyle name="40% - Accent3" xfId="116" builtinId="39" customBuiltin="1"/>
    <cellStyle name="40% - Accent3 2" xfId="41"/>
    <cellStyle name="40% - Accent3 2 2" xfId="178"/>
    <cellStyle name="40% - Accent4" xfId="120" builtinId="43" customBuiltin="1"/>
    <cellStyle name="40% - Accent4 2" xfId="42"/>
    <cellStyle name="40% - Accent4 2 2" xfId="180"/>
    <cellStyle name="40% - Accent5" xfId="124" builtinId="47" customBuiltin="1"/>
    <cellStyle name="40% - Accent5 2" xfId="43"/>
    <cellStyle name="40% - Accent5 2 2" xfId="182"/>
    <cellStyle name="40% - Accent6" xfId="128" builtinId="51" customBuiltin="1"/>
    <cellStyle name="40% - Accent6 2" xfId="44"/>
    <cellStyle name="40% - Accent6 2 2" xfId="184"/>
    <cellStyle name="60% - Accent1" xfId="109" builtinId="32" customBuiltin="1"/>
    <cellStyle name="60% - Accent1 2" xfId="45"/>
    <cellStyle name="60% - Accent2" xfId="113" builtinId="36" customBuiltin="1"/>
    <cellStyle name="60% - Accent2 2" xfId="46"/>
    <cellStyle name="60% - Accent3" xfId="117" builtinId="40" customBuiltin="1"/>
    <cellStyle name="60% - Accent3 2" xfId="47"/>
    <cellStyle name="60% - Accent4" xfId="121" builtinId="44" customBuiltin="1"/>
    <cellStyle name="60% - Accent4 2" xfId="48"/>
    <cellStyle name="60% - Accent5" xfId="125" builtinId="48" customBuiltin="1"/>
    <cellStyle name="60% - Accent5 2" xfId="49"/>
    <cellStyle name="60% - Accent6" xfId="129" builtinId="52" customBuiltin="1"/>
    <cellStyle name="60% - Accent6 2" xfId="50"/>
    <cellStyle name="Accent1" xfId="106" builtinId="29" customBuiltin="1"/>
    <cellStyle name="Accent1 2" xfId="51"/>
    <cellStyle name="Accent2" xfId="110" builtinId="33" customBuiltin="1"/>
    <cellStyle name="Accent2 2" xfId="52"/>
    <cellStyle name="Accent3" xfId="114" builtinId="37" customBuiltin="1"/>
    <cellStyle name="Accent3 2" xfId="53"/>
    <cellStyle name="Accent4" xfId="118" builtinId="41" customBuiltin="1"/>
    <cellStyle name="Accent4 2" xfId="54"/>
    <cellStyle name="Accent5" xfId="122" builtinId="45" customBuiltin="1"/>
    <cellStyle name="Accent5 2" xfId="55"/>
    <cellStyle name="Accent6" xfId="126" builtinId="49" customBuiltin="1"/>
    <cellStyle name="Accent6 2" xfId="56"/>
    <cellStyle name="Bad" xfId="95" builtinId="27" customBuiltin="1"/>
    <cellStyle name="Bad 2" xfId="57"/>
    <cellStyle name="Calculation" xfId="99" builtinId="22" customBuiltin="1"/>
    <cellStyle name="Calculation 2" xfId="58"/>
    <cellStyle name="Check Cell" xfId="101" builtinId="23" customBuiltin="1"/>
    <cellStyle name="Check Cell 2" xfId="59"/>
    <cellStyle name="Comma 2" xfId="3"/>
    <cellStyle name="Comma 2 2" xfId="60"/>
    <cellStyle name="Comma 2 3" xfId="139"/>
    <cellStyle name="Comma 3" xfId="4"/>
    <cellStyle name="Comma 3 2" xfId="61"/>
    <cellStyle name="Comma 4" xfId="5"/>
    <cellStyle name="Comma 4 2" xfId="6"/>
    <cellStyle name="Comma 4 2 2" xfId="7"/>
    <cellStyle name="Comma 4 3" xfId="2"/>
    <cellStyle name="Comma 4 3 2" xfId="25"/>
    <cellStyle name="Comma 4 4" xfId="62"/>
    <cellStyle name="Comma 5" xfId="63"/>
    <cellStyle name="Currency 2" xfId="8"/>
    <cellStyle name="Currency 2 2" xfId="64"/>
    <cellStyle name="Currency 2 2 2" xfId="192"/>
    <cellStyle name="Currency 2 2 3" xfId="158"/>
    <cellStyle name="Currency 2 3" xfId="153"/>
    <cellStyle name="Currency 2 4" xfId="147"/>
    <cellStyle name="Currency 2 5" xfId="202"/>
    <cellStyle name="Currency 3" xfId="9"/>
    <cellStyle name="Currency 3 2" xfId="65"/>
    <cellStyle name="Currency 4" xfId="10"/>
    <cellStyle name="Currency 4 2" xfId="11"/>
    <cellStyle name="Currency 4 2 2" xfId="26"/>
    <cellStyle name="Currency 4 3" xfId="66"/>
    <cellStyle name="Currency 5" xfId="12"/>
    <cellStyle name="Currency 5 2" xfId="67"/>
    <cellStyle name="Currency 6" xfId="13"/>
    <cellStyle name="Currency 6 2" xfId="68"/>
    <cellStyle name="Explanatory Text" xfId="104" builtinId="53" customBuiltin="1"/>
    <cellStyle name="Explanatory Text 2" xfId="69"/>
    <cellStyle name="Good" xfId="94" builtinId="26" customBuiltin="1"/>
    <cellStyle name="Good 2" xfId="70"/>
    <cellStyle name="Heading 1" xfId="90" builtinId="16" customBuiltin="1"/>
    <cellStyle name="Heading 1 2" xfId="71"/>
    <cellStyle name="Heading 2" xfId="91" builtinId="17" customBuiltin="1"/>
    <cellStyle name="Heading 2 2" xfId="72"/>
    <cellStyle name="Heading 3" xfId="92" builtinId="18" customBuiltin="1"/>
    <cellStyle name="Heading 3 2" xfId="73"/>
    <cellStyle name="Heading 4" xfId="93" builtinId="19" customBuiltin="1"/>
    <cellStyle name="Heading 4 2" xfId="74"/>
    <cellStyle name="Hyperlink 2" xfId="14"/>
    <cellStyle name="Hyperlink 2 2" xfId="134"/>
    <cellStyle name="Input" xfId="97" builtinId="20" customBuiltin="1"/>
    <cellStyle name="Input 2" xfId="75"/>
    <cellStyle name="Linked Cell" xfId="100" builtinId="24" customBuiltin="1"/>
    <cellStyle name="Linked Cell 2" xfId="76"/>
    <cellStyle name="Neutral" xfId="96" builtinId="28" customBuiltin="1"/>
    <cellStyle name="Neutral 2" xfId="77"/>
    <cellStyle name="Normal" xfId="0" builtinId="0"/>
    <cellStyle name="Normal 10" xfId="130"/>
    <cellStyle name="Normal 10 2" xfId="195"/>
    <cellStyle name="Normal 10 3" xfId="162"/>
    <cellStyle name="Normal 11" xfId="150"/>
    <cellStyle name="Normal 11 2" xfId="169"/>
    <cellStyle name="Normal 11 3" xfId="197"/>
    <cellStyle name="Normal 11 3 2" xfId="201"/>
    <cellStyle name="Normal 11 3 3" xfId="205"/>
    <cellStyle name="Normal 11_NOV 2013 (Revised)" xfId="164"/>
    <cellStyle name="Normal 12" xfId="171"/>
    <cellStyle name="Normal 13" xfId="196"/>
    <cellStyle name="Normal 14" xfId="170"/>
    <cellStyle name="Normal 14 2" xfId="203"/>
    <cellStyle name="Normal 14 3" xfId="204"/>
    <cellStyle name="Normal 2" xfId="1"/>
    <cellStyle name="Normal 2 2" xfId="78"/>
    <cellStyle name="Normal 2 2 2" xfId="141"/>
    <cellStyle name="Normal 2 2 3" xfId="163"/>
    <cellStyle name="Normal 2 2 4" xfId="185"/>
    <cellStyle name="Normal 2 3" xfId="136"/>
    <cellStyle name="Normal 2_NOV 2013 (Revised)" xfId="165"/>
    <cellStyle name="Normal 3" xfId="15"/>
    <cellStyle name="Normal 3 2" xfId="16"/>
    <cellStyle name="Normal 3 2 2" xfId="154"/>
    <cellStyle name="Normal 3 2 3" xfId="186"/>
    <cellStyle name="Normal 3 2 4" xfId="142"/>
    <cellStyle name="Normal 3 3" xfId="148"/>
    <cellStyle name="Normal 3 4" xfId="137"/>
    <cellStyle name="Normal 3 5" xfId="131"/>
    <cellStyle name="Normal 3_NOV 2013 (Revised)" xfId="166"/>
    <cellStyle name="Normal 4" xfId="17"/>
    <cellStyle name="Normal 4 2" xfId="79"/>
    <cellStyle name="Normal 4 2 2" xfId="144"/>
    <cellStyle name="Normal 4 2 3" xfId="140"/>
    <cellStyle name="Normal 4 2_NOV 2013 (Revised)" xfId="167"/>
    <cellStyle name="Normal 4 3" xfId="135"/>
    <cellStyle name="Normal 4 4" xfId="133"/>
    <cellStyle name="Normal 5" xfId="18"/>
    <cellStyle name="Normal 5 2" xfId="143"/>
    <cellStyle name="Normal 5 2 2" xfId="155"/>
    <cellStyle name="Normal 5 2 3" xfId="187"/>
    <cellStyle name="Normal 5 3" xfId="145"/>
    <cellStyle name="Normal 5 4" xfId="151"/>
    <cellStyle name="Normal 5 5" xfId="138"/>
    <cellStyle name="Normal 5 6" xfId="200"/>
    <cellStyle name="Normal 5_NOV 2013 (Revised)" xfId="168"/>
    <cellStyle name="Normal 6" xfId="19"/>
    <cellStyle name="Normal 6 2" xfId="156"/>
    <cellStyle name="Normal 6 2 2" xfId="190"/>
    <cellStyle name="Normal 6 3" xfId="188"/>
    <cellStyle name="Normal 7" xfId="24"/>
    <cellStyle name="Normal 7 2" xfId="157"/>
    <cellStyle name="Normal 7 2 2" xfId="191"/>
    <cellStyle name="Normal 7 3" xfId="189"/>
    <cellStyle name="Normal 7 4" xfId="152"/>
    <cellStyle name="Normal 7 5" xfId="199"/>
    <cellStyle name="Normal 8" xfId="31"/>
    <cellStyle name="Normal 8 2" xfId="159"/>
    <cellStyle name="Normal 9" xfId="32"/>
    <cellStyle name="Normal 9 2" xfId="193"/>
    <cellStyle name="Normal 9 3" xfId="160"/>
    <cellStyle name="Normal_25 Van Ness Secuity" xfId="27"/>
    <cellStyle name="Normal_25 Van Ness Secuity 2" xfId="28"/>
    <cellStyle name="Normal_DPTparatransit0708stmt" xfId="29"/>
    <cellStyle name="Normal_Form 11A-Contracts Non-ICT" xfId="198"/>
    <cellStyle name="Normal_Worksheet - Form 2 2" xfId="30"/>
    <cellStyle name="Note" xfId="103" builtinId="10" customBuiltin="1"/>
    <cellStyle name="Note 2" xfId="80"/>
    <cellStyle name="Note 2 2" xfId="146"/>
    <cellStyle name="Note 3" xfId="132"/>
    <cellStyle name="Note 3 2" xfId="149"/>
    <cellStyle name="Note 4" xfId="161"/>
    <cellStyle name="Note 4 2" xfId="194"/>
    <cellStyle name="Note 5" xfId="172"/>
    <cellStyle name="Output" xfId="98" builtinId="21" customBuiltin="1"/>
    <cellStyle name="Output 2" xfId="81"/>
    <cellStyle name="Percent 2" xfId="20"/>
    <cellStyle name="Percent 2 2" xfId="82"/>
    <cellStyle name="Percent 3" xfId="21"/>
    <cellStyle name="Percent 3 2" xfId="83"/>
    <cellStyle name="Percent 4" xfId="22"/>
    <cellStyle name="Percent 4 2" xfId="23"/>
    <cellStyle name="Percent 4 2 2" xfId="84"/>
    <cellStyle name="Percent 4 3" xfId="85"/>
    <cellStyle name="Title" xfId="89" builtinId="15" customBuiltin="1"/>
    <cellStyle name="Title 2" xfId="86"/>
    <cellStyle name="Total" xfId="105" builtinId="25" customBuiltin="1"/>
    <cellStyle name="Total 2" xfId="87"/>
    <cellStyle name="Warning Text" xfId="102" builtinId="11" customBuiltin="1"/>
    <cellStyle name="Warning Text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'1B Graphs'!$D$13</c:f>
              <c:strCache>
                <c:ptCount val="1"/>
                <c:pt idx="0">
                  <c:v>Number of Registered Voters</c:v>
                </c:pt>
              </c:strCache>
            </c:strRef>
          </c:tx>
          <c:invertIfNegative val="0"/>
          <c:cat>
            <c:strRef>
              <c:f>'1B Graphs'!$C$14:$C$30</c:f>
              <c:strCache>
                <c:ptCount val="17"/>
                <c:pt idx="0">
                  <c:v>Mar-04</c:v>
                </c:pt>
                <c:pt idx="1">
                  <c:v>Nov-04</c:v>
                </c:pt>
                <c:pt idx="2">
                  <c:v>Nov-05</c:v>
                </c:pt>
                <c:pt idx="3">
                  <c:v>Jun-06</c:v>
                </c:pt>
                <c:pt idx="4">
                  <c:v>Nov-06</c:v>
                </c:pt>
                <c:pt idx="5">
                  <c:v>Nov-07</c:v>
                </c:pt>
                <c:pt idx="6">
                  <c:v>Feb-08</c:v>
                </c:pt>
                <c:pt idx="7">
                  <c:v>Jun-08</c:v>
                </c:pt>
                <c:pt idx="8">
                  <c:v>Nov-08</c:v>
                </c:pt>
                <c:pt idx="9">
                  <c:v>May-09</c:v>
                </c:pt>
                <c:pt idx="10">
                  <c:v>Nov-09</c:v>
                </c:pt>
                <c:pt idx="11">
                  <c:v>Jun-10</c:v>
                </c:pt>
                <c:pt idx="12">
                  <c:v>Nov-10</c:v>
                </c:pt>
                <c:pt idx="13">
                  <c:v>Nov-11</c:v>
                </c:pt>
                <c:pt idx="14">
                  <c:v>Jun-12</c:v>
                </c:pt>
                <c:pt idx="15">
                  <c:v>Nov-12</c:v>
                </c:pt>
                <c:pt idx="16">
                  <c:v>Nov-13</c:v>
                </c:pt>
              </c:strCache>
            </c:strRef>
          </c:cat>
          <c:val>
            <c:numRef>
              <c:f>'1B Graphs'!$D$14:$D$30</c:f>
              <c:numCache>
                <c:formatCode>#,##0</c:formatCode>
                <c:ptCount val="17"/>
                <c:pt idx="0">
                  <c:v>448948</c:v>
                </c:pt>
                <c:pt idx="1">
                  <c:v>486937</c:v>
                </c:pt>
                <c:pt idx="2">
                  <c:v>428481</c:v>
                </c:pt>
                <c:pt idx="3">
                  <c:v>421094</c:v>
                </c:pt>
                <c:pt idx="4">
                  <c:v>418285</c:v>
                </c:pt>
                <c:pt idx="5">
                  <c:v>419598</c:v>
                </c:pt>
                <c:pt idx="6">
                  <c:v>415761</c:v>
                </c:pt>
                <c:pt idx="7">
                  <c:v>430259</c:v>
                </c:pt>
                <c:pt idx="8">
                  <c:v>477651</c:v>
                </c:pt>
                <c:pt idx="9">
                  <c:v>465428</c:v>
                </c:pt>
                <c:pt idx="10">
                  <c:v>451988</c:v>
                </c:pt>
                <c:pt idx="11">
                  <c:v>448346</c:v>
                </c:pt>
                <c:pt idx="12">
                  <c:v>456179</c:v>
                </c:pt>
                <c:pt idx="13" formatCode="General">
                  <c:v>464380</c:v>
                </c:pt>
                <c:pt idx="14">
                  <c:v>470668</c:v>
                </c:pt>
                <c:pt idx="15">
                  <c:v>502841</c:v>
                </c:pt>
                <c:pt idx="16">
                  <c:v>440037</c:v>
                </c:pt>
              </c:numCache>
            </c:numRef>
          </c:val>
        </c:ser>
        <c:dLbls>
          <c:showLegendKey val="0"/>
          <c:showVal val="0"/>
          <c:showCatName val="0"/>
          <c:showSerName val="0"/>
          <c:showPercent val="0"/>
          <c:showBubbleSize val="0"/>
        </c:dLbls>
        <c:gapWidth val="150"/>
        <c:axId val="41990016"/>
        <c:axId val="41991552"/>
      </c:barChart>
      <c:catAx>
        <c:axId val="41990016"/>
        <c:scaling>
          <c:orientation val="minMax"/>
        </c:scaling>
        <c:delete val="0"/>
        <c:axPos val="b"/>
        <c:numFmt formatCode="[$-409]mmm\-yy;@" sourceLinked="1"/>
        <c:majorTickMark val="out"/>
        <c:minorTickMark val="none"/>
        <c:tickLblPos val="nextTo"/>
        <c:crossAx val="41991552"/>
        <c:crosses val="autoZero"/>
        <c:auto val="1"/>
        <c:lblAlgn val="ctr"/>
        <c:lblOffset val="100"/>
        <c:noMultiLvlLbl val="0"/>
      </c:catAx>
      <c:valAx>
        <c:axId val="41991552"/>
        <c:scaling>
          <c:orientation val="minMax"/>
        </c:scaling>
        <c:delete val="0"/>
        <c:axPos val="l"/>
        <c:majorGridlines/>
        <c:numFmt formatCode="#,##0" sourceLinked="1"/>
        <c:majorTickMark val="out"/>
        <c:minorTickMark val="none"/>
        <c:tickLblPos val="nextTo"/>
        <c:crossAx val="41990016"/>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'1B Graphs'!$G$13</c:f>
              <c:strCache>
                <c:ptCount val="1"/>
                <c:pt idx="0">
                  <c:v>Number of Permanent VBM Voters</c:v>
                </c:pt>
              </c:strCache>
            </c:strRef>
          </c:tx>
          <c:invertIfNegative val="0"/>
          <c:cat>
            <c:strRef>
              <c:f>'1B Graphs'!$F$14:$F$30</c:f>
              <c:strCache>
                <c:ptCount val="17"/>
                <c:pt idx="0">
                  <c:v>Mar-04</c:v>
                </c:pt>
                <c:pt idx="1">
                  <c:v>Nov-04</c:v>
                </c:pt>
                <c:pt idx="2">
                  <c:v>Nov-05</c:v>
                </c:pt>
                <c:pt idx="3">
                  <c:v>Jun-06</c:v>
                </c:pt>
                <c:pt idx="4">
                  <c:v>Nov-06</c:v>
                </c:pt>
                <c:pt idx="5">
                  <c:v>Nov-07</c:v>
                </c:pt>
                <c:pt idx="6">
                  <c:v>Feb-08</c:v>
                </c:pt>
                <c:pt idx="7">
                  <c:v>Jun-08</c:v>
                </c:pt>
                <c:pt idx="8">
                  <c:v>Nov-08</c:v>
                </c:pt>
                <c:pt idx="9">
                  <c:v>May-09</c:v>
                </c:pt>
                <c:pt idx="10">
                  <c:v>Nov-09</c:v>
                </c:pt>
                <c:pt idx="11">
                  <c:v>Jun-10</c:v>
                </c:pt>
                <c:pt idx="12">
                  <c:v>Nov-10</c:v>
                </c:pt>
                <c:pt idx="13">
                  <c:v>Nov-11</c:v>
                </c:pt>
                <c:pt idx="14">
                  <c:v>Jun-12</c:v>
                </c:pt>
                <c:pt idx="15">
                  <c:v>Nov-12</c:v>
                </c:pt>
                <c:pt idx="16">
                  <c:v>Nov-13</c:v>
                </c:pt>
              </c:strCache>
            </c:strRef>
          </c:cat>
          <c:val>
            <c:numRef>
              <c:f>'1B Graphs'!$G$14:$G$30</c:f>
              <c:numCache>
                <c:formatCode>#,##0</c:formatCode>
                <c:ptCount val="17"/>
                <c:pt idx="0">
                  <c:v>91889</c:v>
                </c:pt>
                <c:pt idx="1">
                  <c:v>117132</c:v>
                </c:pt>
                <c:pt idx="2">
                  <c:v>120813</c:v>
                </c:pt>
                <c:pt idx="3">
                  <c:v>124323</c:v>
                </c:pt>
                <c:pt idx="4">
                  <c:v>129523</c:v>
                </c:pt>
                <c:pt idx="5">
                  <c:v>134997</c:v>
                </c:pt>
                <c:pt idx="6">
                  <c:v>140579</c:v>
                </c:pt>
                <c:pt idx="7">
                  <c:v>155245</c:v>
                </c:pt>
                <c:pt idx="8">
                  <c:v>167148</c:v>
                </c:pt>
                <c:pt idx="9">
                  <c:v>170282</c:v>
                </c:pt>
                <c:pt idx="10">
                  <c:v>174383</c:v>
                </c:pt>
                <c:pt idx="11">
                  <c:v>176983</c:v>
                </c:pt>
                <c:pt idx="12">
                  <c:v>183733</c:v>
                </c:pt>
                <c:pt idx="13" formatCode="General">
                  <c:v>202388</c:v>
                </c:pt>
                <c:pt idx="14">
                  <c:v>206921</c:v>
                </c:pt>
                <c:pt idx="15">
                  <c:v>235106</c:v>
                </c:pt>
                <c:pt idx="16">
                  <c:v>228533</c:v>
                </c:pt>
              </c:numCache>
            </c:numRef>
          </c:val>
        </c:ser>
        <c:dLbls>
          <c:showLegendKey val="0"/>
          <c:showVal val="0"/>
          <c:showCatName val="0"/>
          <c:showSerName val="0"/>
          <c:showPercent val="0"/>
          <c:showBubbleSize val="0"/>
        </c:dLbls>
        <c:gapWidth val="150"/>
        <c:axId val="42538112"/>
        <c:axId val="58466688"/>
      </c:barChart>
      <c:catAx>
        <c:axId val="42538112"/>
        <c:scaling>
          <c:orientation val="minMax"/>
        </c:scaling>
        <c:delete val="0"/>
        <c:axPos val="b"/>
        <c:majorTickMark val="out"/>
        <c:minorTickMark val="none"/>
        <c:tickLblPos val="nextTo"/>
        <c:crossAx val="58466688"/>
        <c:crosses val="autoZero"/>
        <c:auto val="1"/>
        <c:lblAlgn val="ctr"/>
        <c:lblOffset val="100"/>
        <c:noMultiLvlLbl val="0"/>
      </c:catAx>
      <c:valAx>
        <c:axId val="58466688"/>
        <c:scaling>
          <c:orientation val="minMax"/>
        </c:scaling>
        <c:delete val="0"/>
        <c:axPos val="l"/>
        <c:majorGridlines/>
        <c:numFmt formatCode="#,##0" sourceLinked="1"/>
        <c:majorTickMark val="out"/>
        <c:minorTickMark val="none"/>
        <c:tickLblPos val="nextTo"/>
        <c:crossAx val="4253811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'1B Graphs'!$J$13</c:f>
              <c:strCache>
                <c:ptCount val="1"/>
                <c:pt idx="0">
                  <c:v>Number of Outreach Events</c:v>
                </c:pt>
              </c:strCache>
            </c:strRef>
          </c:tx>
          <c:invertIfNegative val="0"/>
          <c:cat>
            <c:strRef>
              <c:f>'1B Graphs'!$I$14:$I$25</c:f>
              <c:strCache>
                <c:ptCount val="12"/>
                <c:pt idx="0">
                  <c:v>FY 04-05(1)</c:v>
                </c:pt>
                <c:pt idx="1">
                  <c:v>FY05-06(2)</c:v>
                </c:pt>
                <c:pt idx="2">
                  <c:v>FY06-07(1)</c:v>
                </c:pt>
                <c:pt idx="3">
                  <c:v>FY07-08(3)</c:v>
                </c:pt>
                <c:pt idx="4">
                  <c:v>FY08-09(1)</c:v>
                </c:pt>
                <c:pt idx="5">
                  <c:v>FY09-10(2)</c:v>
                </c:pt>
                <c:pt idx="6">
                  <c:v>FY10-11(1)</c:v>
                </c:pt>
                <c:pt idx="7">
                  <c:v>FY11-12(3)</c:v>
                </c:pt>
                <c:pt idx="8">
                  <c:v>FY12-13(1)</c:v>
                </c:pt>
                <c:pt idx="9">
                  <c:v>FY13-14(2)</c:v>
                </c:pt>
                <c:pt idx="10">
                  <c:v>FY14-15(1)</c:v>
                </c:pt>
                <c:pt idx="11">
                  <c:v>FY15-16(2)</c:v>
                </c:pt>
              </c:strCache>
            </c:strRef>
          </c:cat>
          <c:val>
            <c:numRef>
              <c:f>'1B Graphs'!$J$14:$J$25</c:f>
              <c:numCache>
                <c:formatCode>General</c:formatCode>
                <c:ptCount val="12"/>
                <c:pt idx="0">
                  <c:v>377</c:v>
                </c:pt>
                <c:pt idx="1">
                  <c:v>626</c:v>
                </c:pt>
                <c:pt idx="2">
                  <c:v>432</c:v>
                </c:pt>
                <c:pt idx="3">
                  <c:v>313</c:v>
                </c:pt>
                <c:pt idx="4">
                  <c:v>261</c:v>
                </c:pt>
                <c:pt idx="5">
                  <c:v>222</c:v>
                </c:pt>
                <c:pt idx="6">
                  <c:v>150</c:v>
                </c:pt>
                <c:pt idx="7">
                  <c:v>450</c:v>
                </c:pt>
                <c:pt idx="8">
                  <c:v>350</c:v>
                </c:pt>
                <c:pt idx="9">
                  <c:v>415</c:v>
                </c:pt>
                <c:pt idx="10">
                  <c:v>232</c:v>
                </c:pt>
                <c:pt idx="11">
                  <c:v>599</c:v>
                </c:pt>
              </c:numCache>
            </c:numRef>
          </c:val>
        </c:ser>
        <c:dLbls>
          <c:showLegendKey val="0"/>
          <c:showVal val="0"/>
          <c:showCatName val="0"/>
          <c:showSerName val="0"/>
          <c:showPercent val="0"/>
          <c:showBubbleSize val="0"/>
        </c:dLbls>
        <c:gapWidth val="150"/>
        <c:axId val="105440000"/>
        <c:axId val="105441536"/>
      </c:barChart>
      <c:catAx>
        <c:axId val="105440000"/>
        <c:scaling>
          <c:orientation val="minMax"/>
        </c:scaling>
        <c:delete val="0"/>
        <c:axPos val="b"/>
        <c:majorTickMark val="out"/>
        <c:minorTickMark val="none"/>
        <c:tickLblPos val="nextTo"/>
        <c:crossAx val="105441536"/>
        <c:crosses val="autoZero"/>
        <c:auto val="1"/>
        <c:lblAlgn val="ctr"/>
        <c:lblOffset val="100"/>
        <c:noMultiLvlLbl val="0"/>
      </c:catAx>
      <c:valAx>
        <c:axId val="105441536"/>
        <c:scaling>
          <c:orientation val="minMax"/>
        </c:scaling>
        <c:delete val="0"/>
        <c:axPos val="l"/>
        <c:majorGridlines/>
        <c:numFmt formatCode="General" sourceLinked="1"/>
        <c:majorTickMark val="out"/>
        <c:minorTickMark val="none"/>
        <c:tickLblPos val="nextTo"/>
        <c:crossAx val="10544000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857250</xdr:colOff>
      <xdr:row>9</xdr:row>
      <xdr:rowOff>400050</xdr:rowOff>
    </xdr:from>
    <xdr:to>
      <xdr:col>13</xdr:col>
      <xdr:colOff>104775</xdr:colOff>
      <xdr:row>13</xdr:row>
      <xdr:rowOff>76200</xdr:rowOff>
    </xdr:to>
    <xdr:sp macro="" textlink="">
      <xdr:nvSpPr>
        <xdr:cNvPr id="3" name="TextBox 2"/>
        <xdr:cNvSpPr txBox="1"/>
      </xdr:nvSpPr>
      <xdr:spPr>
        <a:xfrm>
          <a:off x="4676775" y="2886075"/>
          <a:ext cx="70199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0" b="1"/>
            <a:t>See</a:t>
          </a:r>
          <a:r>
            <a:rPr lang="en-US" sz="6000" b="1" baseline="0"/>
            <a:t> Form 3A</a:t>
          </a:r>
          <a:endParaRPr lang="en-US" sz="60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1114425</xdr:colOff>
      <xdr:row>32</xdr:row>
      <xdr:rowOff>123825</xdr:rowOff>
    </xdr:from>
    <xdr:to>
      <xdr:col>8</xdr:col>
      <xdr:colOff>413657</xdr:colOff>
      <xdr:row>40</xdr:row>
      <xdr:rowOff>38100</xdr:rowOff>
    </xdr:to>
    <xdr:sp macro="" textlink="">
      <xdr:nvSpPr>
        <xdr:cNvPr id="4" name="TextBox 3"/>
        <xdr:cNvSpPr txBox="1"/>
      </xdr:nvSpPr>
      <xdr:spPr>
        <a:xfrm>
          <a:off x="1114425" y="5724525"/>
          <a:ext cx="6290582"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mn-lt"/>
              <a:ea typeface="+mn-ea"/>
              <a:cs typeface="+mn-cs"/>
            </a:rPr>
            <a:t>The Department's Assembly of Vote-by-Mail</a:t>
          </a:r>
          <a:r>
            <a:rPr lang="en-US" sz="2000" b="1" baseline="0">
              <a:solidFill>
                <a:schemeClr val="dk1"/>
              </a:solidFill>
              <a:effectLst/>
              <a:latin typeface="+mn-lt"/>
              <a:ea typeface="+mn-ea"/>
              <a:cs typeface="+mn-cs"/>
            </a:rPr>
            <a:t> Envelopes Prop </a:t>
          </a:r>
          <a:r>
            <a:rPr lang="en-US" sz="2000" b="1">
              <a:solidFill>
                <a:schemeClr val="dk1"/>
              </a:solidFill>
              <a:effectLst/>
              <a:latin typeface="+mn-lt"/>
              <a:ea typeface="+mn-ea"/>
              <a:cs typeface="+mn-cs"/>
            </a:rPr>
            <a:t>J contract</a:t>
          </a:r>
          <a:r>
            <a:rPr lang="en-US" sz="2000" b="1" baseline="0">
              <a:solidFill>
                <a:schemeClr val="dk1"/>
              </a:solidFill>
              <a:effectLst/>
              <a:latin typeface="+mn-lt"/>
              <a:ea typeface="+mn-ea"/>
              <a:cs typeface="+mn-cs"/>
            </a:rPr>
            <a:t> was </a:t>
          </a:r>
          <a:r>
            <a:rPr lang="en-US" sz="2000" b="1">
              <a:solidFill>
                <a:schemeClr val="dk1"/>
              </a:solidFill>
              <a:effectLst/>
              <a:latin typeface="+mn-lt"/>
              <a:ea typeface="+mn-ea"/>
              <a:cs typeface="+mn-cs"/>
            </a:rPr>
            <a:t>approved for FY 2014-15 during the prior year’s budget cycle.</a:t>
          </a:r>
          <a:r>
            <a:rPr lang="en-US" sz="2000" b="1" baseline="0">
              <a:solidFill>
                <a:schemeClr val="dk1"/>
              </a:solidFill>
              <a:effectLst/>
              <a:latin typeface="+mn-lt"/>
              <a:ea typeface="+mn-ea"/>
              <a:cs typeface="+mn-cs"/>
            </a:rPr>
            <a:t> </a:t>
          </a:r>
          <a:endParaRPr lang="en-US" sz="20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333375</xdr:colOff>
      <xdr:row>0</xdr:row>
      <xdr:rowOff>171450</xdr:rowOff>
    </xdr:from>
    <xdr:to>
      <xdr:col>26</xdr:col>
      <xdr:colOff>280307</xdr:colOff>
      <xdr:row>7</xdr:row>
      <xdr:rowOff>152400</xdr:rowOff>
    </xdr:to>
    <xdr:sp macro="" textlink="">
      <xdr:nvSpPr>
        <xdr:cNvPr id="5" name="TextBox 4"/>
        <xdr:cNvSpPr txBox="1"/>
      </xdr:nvSpPr>
      <xdr:spPr>
        <a:xfrm>
          <a:off x="10277475" y="171450"/>
          <a:ext cx="6290582"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mn-lt"/>
              <a:ea typeface="+mn-ea"/>
              <a:cs typeface="+mn-cs"/>
            </a:rPr>
            <a:t>The Department's Assembly of Vote-by-Mail</a:t>
          </a:r>
          <a:r>
            <a:rPr lang="en-US" sz="2000" b="1" baseline="0">
              <a:solidFill>
                <a:schemeClr val="dk1"/>
              </a:solidFill>
              <a:effectLst/>
              <a:latin typeface="+mn-lt"/>
              <a:ea typeface="+mn-ea"/>
              <a:cs typeface="+mn-cs"/>
            </a:rPr>
            <a:t> Envelopes Prop </a:t>
          </a:r>
          <a:r>
            <a:rPr lang="en-US" sz="2000" b="1">
              <a:solidFill>
                <a:schemeClr val="dk1"/>
              </a:solidFill>
              <a:effectLst/>
              <a:latin typeface="+mn-lt"/>
              <a:ea typeface="+mn-ea"/>
              <a:cs typeface="+mn-cs"/>
            </a:rPr>
            <a:t>J contract</a:t>
          </a:r>
          <a:r>
            <a:rPr lang="en-US" sz="2000" b="1" baseline="0">
              <a:solidFill>
                <a:schemeClr val="dk1"/>
              </a:solidFill>
              <a:effectLst/>
              <a:latin typeface="+mn-lt"/>
              <a:ea typeface="+mn-ea"/>
              <a:cs typeface="+mn-cs"/>
            </a:rPr>
            <a:t> was </a:t>
          </a:r>
          <a:r>
            <a:rPr lang="en-US" sz="2000" b="1">
              <a:solidFill>
                <a:schemeClr val="dk1"/>
              </a:solidFill>
              <a:effectLst/>
              <a:latin typeface="+mn-lt"/>
              <a:ea typeface="+mn-ea"/>
              <a:cs typeface="+mn-cs"/>
            </a:rPr>
            <a:t>approved for FY 2014-15 during the prior year’s budget cycle.</a:t>
          </a:r>
          <a:r>
            <a:rPr lang="en-US" sz="2000" b="1" baseline="0">
              <a:solidFill>
                <a:schemeClr val="dk1"/>
              </a:solidFill>
              <a:effectLst/>
              <a:latin typeface="+mn-lt"/>
              <a:ea typeface="+mn-ea"/>
              <a:cs typeface="+mn-cs"/>
            </a:rPr>
            <a:t> </a:t>
          </a:r>
          <a:endParaRPr lang="en-US" sz="20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247650</xdr:colOff>
      <xdr:row>15</xdr:row>
      <xdr:rowOff>190500</xdr:rowOff>
    </xdr:from>
    <xdr:to>
      <xdr:col>16</xdr:col>
      <xdr:colOff>423182</xdr:colOff>
      <xdr:row>22</xdr:row>
      <xdr:rowOff>47625</xdr:rowOff>
    </xdr:to>
    <xdr:sp macro="" textlink="">
      <xdr:nvSpPr>
        <xdr:cNvPr id="3" name="TextBox 2"/>
        <xdr:cNvSpPr txBox="1"/>
      </xdr:nvSpPr>
      <xdr:spPr>
        <a:xfrm>
          <a:off x="3943350" y="3324225"/>
          <a:ext cx="6290582"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mn-lt"/>
              <a:ea typeface="+mn-ea"/>
              <a:cs typeface="+mn-cs"/>
            </a:rPr>
            <a:t>The Department's Assembly of Vote-by-Mail</a:t>
          </a:r>
          <a:r>
            <a:rPr lang="en-US" sz="2000" b="1" baseline="0">
              <a:solidFill>
                <a:schemeClr val="dk1"/>
              </a:solidFill>
              <a:effectLst/>
              <a:latin typeface="+mn-lt"/>
              <a:ea typeface="+mn-ea"/>
              <a:cs typeface="+mn-cs"/>
            </a:rPr>
            <a:t> Envelopes Prop </a:t>
          </a:r>
          <a:r>
            <a:rPr lang="en-US" sz="2000" b="1">
              <a:solidFill>
                <a:schemeClr val="dk1"/>
              </a:solidFill>
              <a:effectLst/>
              <a:latin typeface="+mn-lt"/>
              <a:ea typeface="+mn-ea"/>
              <a:cs typeface="+mn-cs"/>
            </a:rPr>
            <a:t>J contract</a:t>
          </a:r>
          <a:r>
            <a:rPr lang="en-US" sz="2000" b="1" baseline="0">
              <a:solidFill>
                <a:schemeClr val="dk1"/>
              </a:solidFill>
              <a:effectLst/>
              <a:latin typeface="+mn-lt"/>
              <a:ea typeface="+mn-ea"/>
              <a:cs typeface="+mn-cs"/>
            </a:rPr>
            <a:t> was </a:t>
          </a:r>
          <a:r>
            <a:rPr lang="en-US" sz="2000" b="1">
              <a:solidFill>
                <a:schemeClr val="dk1"/>
              </a:solidFill>
              <a:effectLst/>
              <a:latin typeface="+mn-lt"/>
              <a:ea typeface="+mn-ea"/>
              <a:cs typeface="+mn-cs"/>
            </a:rPr>
            <a:t>approved for FY 2014-15 during the prior year’s budget cycle.</a:t>
          </a:r>
          <a:r>
            <a:rPr lang="en-US" sz="2000" b="1" baseline="0">
              <a:solidFill>
                <a:schemeClr val="dk1"/>
              </a:solidFill>
              <a:effectLst/>
              <a:latin typeface="+mn-lt"/>
              <a:ea typeface="+mn-ea"/>
              <a:cs typeface="+mn-cs"/>
            </a:rPr>
            <a:t> </a:t>
          </a:r>
          <a:endParaRPr lang="en-US"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500062</xdr:colOff>
      <xdr:row>30</xdr:row>
      <xdr:rowOff>161924</xdr:rowOff>
    </xdr:from>
    <xdr:to>
      <xdr:col>4</xdr:col>
      <xdr:colOff>57150</xdr:colOff>
      <xdr:row>44</xdr:row>
      <xdr:rowOff>157161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304800</xdr:colOff>
      <xdr:row>30</xdr:row>
      <xdr:rowOff>176212</xdr:rowOff>
    </xdr:from>
    <xdr:to>
      <xdr:col>7</xdr:col>
      <xdr:colOff>28575</xdr:colOff>
      <xdr:row>45</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142875</xdr:colOff>
      <xdr:row>30</xdr:row>
      <xdr:rowOff>176212</xdr:rowOff>
    </xdr:from>
    <xdr:to>
      <xdr:col>9</xdr:col>
      <xdr:colOff>2581275</xdr:colOff>
      <xdr:row>42</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1895475</xdr:colOff>
      <xdr:row>26</xdr:row>
      <xdr:rowOff>85725</xdr:rowOff>
    </xdr:from>
    <xdr:to>
      <xdr:col>6</xdr:col>
      <xdr:colOff>1911055</xdr:colOff>
      <xdr:row>30</xdr:row>
      <xdr:rowOff>189439</xdr:rowOff>
    </xdr:to>
    <xdr:cxnSp macro="">
      <xdr:nvCxnSpPr>
        <xdr:cNvPr id="411" name="Elbow Connector 410"/>
        <xdr:cNvCxnSpPr/>
      </xdr:nvCxnSpPr>
      <xdr:spPr>
        <a:xfrm rot="10800000">
          <a:off x="7762875" y="5591175"/>
          <a:ext cx="15580" cy="865714"/>
        </a:xfrm>
        <a:prstGeom prst="bentConnector3">
          <a:avLst>
            <a:gd name="adj1" fmla="val 131091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1895475</xdr:colOff>
      <xdr:row>21</xdr:row>
      <xdr:rowOff>180975</xdr:rowOff>
    </xdr:from>
    <xdr:to>
      <xdr:col>6</xdr:col>
      <xdr:colOff>1911055</xdr:colOff>
      <xdr:row>26</xdr:row>
      <xdr:rowOff>94189</xdr:rowOff>
    </xdr:to>
    <xdr:cxnSp macro="">
      <xdr:nvCxnSpPr>
        <xdr:cNvPr id="410" name="Elbow Connector 409"/>
        <xdr:cNvCxnSpPr/>
      </xdr:nvCxnSpPr>
      <xdr:spPr>
        <a:xfrm rot="10800000">
          <a:off x="7762875" y="4733925"/>
          <a:ext cx="15580" cy="865714"/>
        </a:xfrm>
        <a:prstGeom prst="bentConnector3">
          <a:avLst>
            <a:gd name="adj1" fmla="val 131091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333374</xdr:colOff>
      <xdr:row>3</xdr:row>
      <xdr:rowOff>104774</xdr:rowOff>
    </xdr:from>
    <xdr:to>
      <xdr:col>9</xdr:col>
      <xdr:colOff>2390774</xdr:colOff>
      <xdr:row>37</xdr:row>
      <xdr:rowOff>9048</xdr:rowOff>
    </xdr:to>
    <xdr:grpSp>
      <xdr:nvGrpSpPr>
        <xdr:cNvPr id="188" name="Group 187"/>
        <xdr:cNvGrpSpPr/>
      </xdr:nvGrpSpPr>
      <xdr:grpSpPr>
        <a:xfrm>
          <a:off x="714374" y="708024"/>
          <a:ext cx="11630025" cy="6889274"/>
          <a:chOff x="36800" y="-13243"/>
          <a:chExt cx="9488200" cy="5932999"/>
        </a:xfrm>
      </xdr:grpSpPr>
      <xdr:cxnSp macro="">
        <xdr:nvCxnSpPr>
          <xdr:cNvPr id="191" name="Elbow Connector 190"/>
          <xdr:cNvCxnSpPr/>
        </xdr:nvCxnSpPr>
        <xdr:spPr>
          <a:xfrm rot="16200000" flipV="1">
            <a:off x="8194752" y="3889820"/>
            <a:ext cx="556295" cy="90357"/>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9" name="Elbow Connector 188"/>
          <xdr:cNvCxnSpPr/>
        </xdr:nvCxnSpPr>
        <xdr:spPr>
          <a:xfrm rot="5400000" flipH="1" flipV="1">
            <a:off x="7359879" y="3072069"/>
            <a:ext cx="476329" cy="173554"/>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0" name="Elbow Connector 189"/>
          <xdr:cNvCxnSpPr/>
        </xdr:nvCxnSpPr>
        <xdr:spPr>
          <a:xfrm rot="5400000" flipH="1" flipV="1">
            <a:off x="6415946" y="3571990"/>
            <a:ext cx="844383" cy="703"/>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2" name="Elbow Connector 191"/>
          <xdr:cNvCxnSpPr/>
        </xdr:nvCxnSpPr>
        <xdr:spPr>
          <a:xfrm rot="5400000" flipH="1" flipV="1">
            <a:off x="8710499" y="3665958"/>
            <a:ext cx="547522" cy="502473"/>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3" name="Elbow Connector 192"/>
          <xdr:cNvCxnSpPr/>
        </xdr:nvCxnSpPr>
        <xdr:spPr>
          <a:xfrm rot="16200000" flipV="1">
            <a:off x="6745994" y="3013178"/>
            <a:ext cx="466605" cy="281611"/>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4" name="Elbow Connector 193"/>
          <xdr:cNvCxnSpPr/>
        </xdr:nvCxnSpPr>
        <xdr:spPr>
          <a:xfrm rot="16200000" flipV="1">
            <a:off x="7152124" y="3559914"/>
            <a:ext cx="1065391" cy="2"/>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5" name="TextBox 245"/>
          <xdr:cNvSpPr txBox="1"/>
        </xdr:nvSpPr>
        <xdr:spPr>
          <a:xfrm>
            <a:off x="1809070" y="-13243"/>
            <a:ext cx="6725330" cy="402679"/>
          </a:xfrm>
          <a:prstGeom prst="rect">
            <a:avLst/>
          </a:prstGeom>
          <a:noFill/>
        </xdr:spPr>
        <xdr:txBody>
          <a:bodyPr wrap="square" rtlCol="0">
            <a:spAutoFit/>
          </a:bodyPr>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algn="ctr"/>
            <a:r>
              <a:rPr lang="en-US" sz="2400" b="1"/>
              <a:t>Organization Chart</a:t>
            </a:r>
          </a:p>
        </xdr:txBody>
      </xdr:sp>
      <xdr:grpSp>
        <xdr:nvGrpSpPr>
          <xdr:cNvPr id="196" name="Group 195"/>
          <xdr:cNvGrpSpPr/>
        </xdr:nvGrpSpPr>
        <xdr:grpSpPr>
          <a:xfrm>
            <a:off x="36800" y="428585"/>
            <a:ext cx="9488200" cy="5491171"/>
            <a:chOff x="36800" y="428585"/>
            <a:chExt cx="9488200" cy="5491171"/>
          </a:xfrm>
        </xdr:grpSpPr>
        <xdr:cxnSp macro="">
          <xdr:nvCxnSpPr>
            <xdr:cNvPr id="266" name="Elbow Connector 265"/>
            <xdr:cNvCxnSpPr/>
          </xdr:nvCxnSpPr>
          <xdr:spPr>
            <a:xfrm rot="10800000" flipH="1">
              <a:off x="1215575" y="2026920"/>
              <a:ext cx="251460" cy="548640"/>
            </a:xfrm>
            <a:prstGeom prst="bentConnector4">
              <a:avLst>
                <a:gd name="adj1" fmla="val -90909"/>
                <a:gd name="adj2" fmla="val 791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0" name="Elbow Connector 269"/>
            <xdr:cNvCxnSpPr/>
          </xdr:nvCxnSpPr>
          <xdr:spPr>
            <a:xfrm rot="10800000">
              <a:off x="1200046" y="2575561"/>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2" name="Rectangle 201"/>
            <xdr:cNvSpPr/>
          </xdr:nvSpPr>
          <xdr:spPr>
            <a:xfrm>
              <a:off x="4442460" y="428585"/>
              <a:ext cx="1173480" cy="379135"/>
            </a:xfrm>
            <a:prstGeom prst="rect">
              <a:avLst/>
            </a:prstGeom>
            <a:solidFill>
              <a:schemeClr val="accent1"/>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900" b="1">
                  <a:solidFill>
                    <a:schemeClr val="tx1"/>
                  </a:solidFill>
                </a:rPr>
                <a:t>Director </a:t>
              </a:r>
            </a:p>
            <a:p>
              <a:pPr algn="ctr"/>
              <a:r>
                <a:rPr lang="en-US" sz="900" b="1">
                  <a:solidFill>
                    <a:schemeClr val="tx1"/>
                  </a:solidFill>
                </a:rPr>
                <a:t>0962</a:t>
              </a:r>
            </a:p>
          </xdr:txBody>
        </xdr:sp>
        <xdr:cxnSp macro="">
          <xdr:nvCxnSpPr>
            <xdr:cNvPr id="203" name="Elbow Connector 202"/>
            <xdr:cNvCxnSpPr>
              <a:stCxn id="202" idx="2"/>
              <a:endCxn id="206" idx="0"/>
            </xdr:cNvCxnSpPr>
          </xdr:nvCxnSpPr>
          <xdr:spPr>
            <a:xfrm rot="5400000">
              <a:off x="3733401" y="-376379"/>
              <a:ext cx="111700" cy="2479898"/>
            </a:xfrm>
            <a:prstGeom prst="bentConnector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4" name="Elbow Connector 203"/>
            <xdr:cNvCxnSpPr>
              <a:stCxn id="205" idx="0"/>
              <a:endCxn id="202" idx="2"/>
            </xdr:cNvCxnSpPr>
          </xdr:nvCxnSpPr>
          <xdr:spPr>
            <a:xfrm rot="16200000" flipV="1">
              <a:off x="6218798" y="-381878"/>
              <a:ext cx="111700" cy="24908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5" name="Rectangle 204"/>
            <xdr:cNvSpPr/>
          </xdr:nvSpPr>
          <xdr:spPr>
            <a:xfrm>
              <a:off x="7003592" y="919420"/>
              <a:ext cx="1033007" cy="378316"/>
            </a:xfrm>
            <a:prstGeom prst="rect">
              <a:avLst/>
            </a:prstGeom>
            <a:solidFill>
              <a:schemeClr val="accent1">
                <a:lumMod val="60000"/>
                <a:lumOff val="4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900" b="1">
                  <a:solidFill>
                    <a:schemeClr val="dk1"/>
                  </a:solidFill>
                </a:rPr>
                <a:t>Deputy Director Budget &amp; Personnel 0952</a:t>
              </a:r>
            </a:p>
          </xdr:txBody>
        </xdr:sp>
        <xdr:sp macro="" textlink="">
          <xdr:nvSpPr>
            <xdr:cNvPr id="206" name="Rectangle 205"/>
            <xdr:cNvSpPr/>
          </xdr:nvSpPr>
          <xdr:spPr>
            <a:xfrm>
              <a:off x="2032798" y="919420"/>
              <a:ext cx="1033007" cy="378316"/>
            </a:xfrm>
            <a:prstGeom prst="rect">
              <a:avLst/>
            </a:prstGeom>
            <a:solidFill>
              <a:schemeClr val="accent1">
                <a:lumMod val="60000"/>
                <a:lumOff val="4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900" b="1">
                  <a:solidFill>
                    <a:schemeClr val="dk1"/>
                  </a:solidFill>
                </a:rPr>
                <a:t>Deputy Director Operations </a:t>
              </a:r>
            </a:p>
            <a:p>
              <a:pPr algn="ctr"/>
              <a:r>
                <a:rPr lang="en-US" sz="900" b="1">
                  <a:solidFill>
                    <a:schemeClr val="dk1"/>
                  </a:solidFill>
                </a:rPr>
                <a:t>0951 (Vacant)</a:t>
              </a:r>
            </a:p>
          </xdr:txBody>
        </xdr:sp>
        <xdr:sp macro="" textlink="">
          <xdr:nvSpPr>
            <xdr:cNvPr id="207" name="Rectangle 206"/>
            <xdr:cNvSpPr/>
          </xdr:nvSpPr>
          <xdr:spPr>
            <a:xfrm>
              <a:off x="2882127" y="1572404"/>
              <a:ext cx="141732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Polling Place Operations</a:t>
              </a:r>
            </a:p>
            <a:p>
              <a:pPr marL="114300" indent="-57150">
                <a:buFont typeface="Arial" panose="020B0604020202020204" pitchFamily="34" charset="0"/>
                <a:buChar char="•"/>
              </a:pPr>
              <a:r>
                <a:rPr lang="en-US" sz="800">
                  <a:solidFill>
                    <a:schemeClr val="bg1"/>
                  </a:solidFill>
                </a:rPr>
                <a:t>L&amp;A </a:t>
              </a:r>
            </a:p>
            <a:p>
              <a:pPr marL="114300" indent="-57150">
                <a:buFont typeface="Arial" panose="020B0604020202020204" pitchFamily="34" charset="0"/>
                <a:buChar char="•"/>
              </a:pPr>
              <a:r>
                <a:rPr lang="en-US" sz="800">
                  <a:solidFill>
                    <a:schemeClr val="bg1"/>
                  </a:solidFill>
                </a:rPr>
                <a:t>Voting Equipment &amp; Supplies</a:t>
              </a:r>
            </a:p>
          </xdr:txBody>
        </xdr:sp>
        <xdr:sp macro="" textlink="">
          <xdr:nvSpPr>
            <xdr:cNvPr id="208" name="Rectangle 207"/>
            <xdr:cNvSpPr/>
          </xdr:nvSpPr>
          <xdr:spPr>
            <a:xfrm>
              <a:off x="1031829" y="1572404"/>
              <a:ext cx="77724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Ballot </a:t>
              </a:r>
              <a:br>
                <a:rPr lang="en-US" sz="800">
                  <a:solidFill>
                    <a:schemeClr val="bg1"/>
                  </a:solidFill>
                </a:rPr>
              </a:br>
              <a:r>
                <a:rPr lang="en-US" sz="800">
                  <a:solidFill>
                    <a:schemeClr val="bg1"/>
                  </a:solidFill>
                </a:rPr>
                <a:t>Distribution</a:t>
              </a:r>
            </a:p>
          </xdr:txBody>
        </xdr:sp>
        <xdr:sp macro="" textlink="">
          <xdr:nvSpPr>
            <xdr:cNvPr id="209" name="Rectangle 208"/>
            <xdr:cNvSpPr/>
          </xdr:nvSpPr>
          <xdr:spPr>
            <a:xfrm>
              <a:off x="1956978" y="1572404"/>
              <a:ext cx="77724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Voter </a:t>
              </a:r>
            </a:p>
            <a:p>
              <a:pPr algn="ctr"/>
              <a:r>
                <a:rPr lang="en-US" sz="800">
                  <a:solidFill>
                    <a:schemeClr val="bg1"/>
                  </a:solidFill>
                </a:rPr>
                <a:t>Services</a:t>
              </a:r>
            </a:p>
          </xdr:txBody>
        </xdr:sp>
        <xdr:sp macro="" textlink="">
          <xdr:nvSpPr>
            <xdr:cNvPr id="210" name="Rectangle 209"/>
            <xdr:cNvSpPr/>
          </xdr:nvSpPr>
          <xdr:spPr>
            <a:xfrm>
              <a:off x="8107680" y="1572404"/>
              <a:ext cx="141732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Election Day Support </a:t>
              </a:r>
            </a:p>
            <a:p>
              <a:pPr marL="114300" indent="-57150">
                <a:buFont typeface="Arial" panose="020B0604020202020204" pitchFamily="34" charset="0"/>
                <a:buChar char="•"/>
              </a:pPr>
              <a:r>
                <a:rPr lang="en-US" sz="800">
                  <a:solidFill>
                    <a:schemeClr val="bg1"/>
                  </a:solidFill>
                </a:rPr>
                <a:t>Precinct Services </a:t>
              </a:r>
            </a:p>
            <a:p>
              <a:pPr marL="114300" indent="-57150">
                <a:buFont typeface="Arial" panose="020B0604020202020204" pitchFamily="34" charset="0"/>
                <a:buChar char="•"/>
              </a:pPr>
              <a:r>
                <a:rPr lang="en-US" sz="800">
                  <a:solidFill>
                    <a:schemeClr val="bg1"/>
                  </a:solidFill>
                </a:rPr>
                <a:t>Poll worker &amp; Field support</a:t>
              </a:r>
            </a:p>
          </xdr:txBody>
        </xdr:sp>
        <xdr:sp macro="" textlink="">
          <xdr:nvSpPr>
            <xdr:cNvPr id="211" name="Rectangle 210"/>
            <xdr:cNvSpPr/>
          </xdr:nvSpPr>
          <xdr:spPr>
            <a:xfrm>
              <a:off x="4447356" y="1572404"/>
              <a:ext cx="77724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Campaign </a:t>
              </a:r>
              <a:br>
                <a:rPr lang="en-US" sz="800">
                  <a:solidFill>
                    <a:schemeClr val="bg1"/>
                  </a:solidFill>
                </a:rPr>
              </a:br>
              <a:r>
                <a:rPr lang="en-US" sz="800">
                  <a:solidFill>
                    <a:schemeClr val="bg1"/>
                  </a:solidFill>
                </a:rPr>
                <a:t>Services </a:t>
              </a:r>
            </a:p>
          </xdr:txBody>
        </xdr:sp>
        <xdr:sp macro="" textlink="">
          <xdr:nvSpPr>
            <xdr:cNvPr id="212" name="Rectangle 211"/>
            <xdr:cNvSpPr/>
          </xdr:nvSpPr>
          <xdr:spPr>
            <a:xfrm>
              <a:off x="6542449" y="1572404"/>
              <a:ext cx="1417321"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Voter Information</a:t>
              </a:r>
            </a:p>
            <a:p>
              <a:pPr marL="114300" indent="-57150">
                <a:buFont typeface="Arial" panose="020B0604020202020204" pitchFamily="34" charset="0"/>
                <a:buChar char="•"/>
              </a:pPr>
              <a:r>
                <a:rPr lang="en-US" sz="800">
                  <a:solidFill>
                    <a:schemeClr val="bg1"/>
                  </a:solidFill>
                </a:rPr>
                <a:t>Publications </a:t>
              </a:r>
            </a:p>
            <a:p>
              <a:pPr marL="114300" indent="-57150">
                <a:buFont typeface="Arial" panose="020B0604020202020204" pitchFamily="34" charset="0"/>
                <a:buChar char="•"/>
              </a:pPr>
              <a:r>
                <a:rPr lang="en-US" sz="800">
                  <a:solidFill>
                    <a:schemeClr val="bg1"/>
                  </a:solidFill>
                </a:rPr>
                <a:t>Outreach </a:t>
              </a:r>
            </a:p>
          </xdr:txBody>
        </xdr:sp>
        <xdr:sp macro="" textlink="">
          <xdr:nvSpPr>
            <xdr:cNvPr id="213" name="Rectangle 212"/>
            <xdr:cNvSpPr/>
          </xdr:nvSpPr>
          <xdr:spPr>
            <a:xfrm>
              <a:off x="106680" y="1572404"/>
              <a:ext cx="77724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Information </a:t>
              </a:r>
              <a:br>
                <a:rPr lang="en-US" sz="800">
                  <a:solidFill>
                    <a:schemeClr val="bg1"/>
                  </a:solidFill>
                </a:rPr>
              </a:br>
              <a:r>
                <a:rPr lang="en-US" sz="800">
                  <a:solidFill>
                    <a:schemeClr val="bg1"/>
                  </a:solidFill>
                </a:rPr>
                <a:t>Technology</a:t>
              </a:r>
            </a:p>
          </xdr:txBody>
        </xdr:sp>
        <xdr:sp macro="" textlink="">
          <xdr:nvSpPr>
            <xdr:cNvPr id="214" name="Rectangle 213"/>
            <xdr:cNvSpPr/>
          </xdr:nvSpPr>
          <xdr:spPr>
            <a:xfrm>
              <a:off x="5617300" y="1572404"/>
              <a:ext cx="777240" cy="454516"/>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800">
                  <a:solidFill>
                    <a:schemeClr val="bg1"/>
                  </a:solidFill>
                </a:rPr>
                <a:t>Administration</a:t>
              </a:r>
            </a:p>
          </xdr:txBody>
        </xdr:sp>
        <xdr:cxnSp macro="">
          <xdr:nvCxnSpPr>
            <xdr:cNvPr id="215" name="Elbow Connector 214"/>
            <xdr:cNvCxnSpPr>
              <a:stCxn id="210" idx="0"/>
              <a:endCxn id="205" idx="2"/>
            </xdr:cNvCxnSpPr>
          </xdr:nvCxnSpPr>
          <xdr:spPr>
            <a:xfrm rot="16200000" flipV="1">
              <a:off x="8030884" y="786948"/>
              <a:ext cx="274668" cy="1296244"/>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6" name="Elbow Connector 215"/>
            <xdr:cNvCxnSpPr>
              <a:stCxn id="212" idx="0"/>
              <a:endCxn id="205" idx="2"/>
            </xdr:cNvCxnSpPr>
          </xdr:nvCxnSpPr>
          <xdr:spPr>
            <a:xfrm rot="5400000" flipH="1" flipV="1">
              <a:off x="7248269" y="1300577"/>
              <a:ext cx="274668" cy="26898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7" name="Elbow Connector 216"/>
            <xdr:cNvCxnSpPr>
              <a:stCxn id="207" idx="0"/>
              <a:endCxn id="206" idx="2"/>
            </xdr:cNvCxnSpPr>
          </xdr:nvCxnSpPr>
          <xdr:spPr>
            <a:xfrm rot="16200000" flipV="1">
              <a:off x="2932711" y="914327"/>
              <a:ext cx="274668" cy="1041485"/>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8" name="Elbow Connector 217"/>
            <xdr:cNvCxnSpPr>
              <a:stCxn id="214" idx="0"/>
              <a:endCxn id="205" idx="2"/>
            </xdr:cNvCxnSpPr>
          </xdr:nvCxnSpPr>
          <xdr:spPr>
            <a:xfrm rot="5400000" flipH="1" flipV="1">
              <a:off x="6625674" y="677982"/>
              <a:ext cx="274668" cy="151417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9" name="Elbow Connector 218"/>
            <xdr:cNvCxnSpPr>
              <a:stCxn id="211" idx="0"/>
              <a:endCxn id="206" idx="2"/>
            </xdr:cNvCxnSpPr>
          </xdr:nvCxnSpPr>
          <xdr:spPr>
            <a:xfrm rot="16200000" flipV="1">
              <a:off x="3555305" y="291733"/>
              <a:ext cx="274668" cy="2286674"/>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0" name="Elbow Connector 219"/>
            <xdr:cNvCxnSpPr>
              <a:stCxn id="209" idx="0"/>
              <a:endCxn id="206" idx="2"/>
            </xdr:cNvCxnSpPr>
          </xdr:nvCxnSpPr>
          <xdr:spPr>
            <a:xfrm rot="5400000" flipH="1" flipV="1">
              <a:off x="2310116" y="1333218"/>
              <a:ext cx="274668" cy="203704"/>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1" name="Elbow Connector 220"/>
            <xdr:cNvCxnSpPr>
              <a:stCxn id="208" idx="0"/>
              <a:endCxn id="206" idx="2"/>
            </xdr:cNvCxnSpPr>
          </xdr:nvCxnSpPr>
          <xdr:spPr>
            <a:xfrm rot="5400000" flipH="1" flipV="1">
              <a:off x="1847541" y="870644"/>
              <a:ext cx="274668" cy="1128853"/>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2" name="Elbow Connector 221"/>
            <xdr:cNvCxnSpPr>
              <a:stCxn id="213" idx="0"/>
              <a:endCxn id="206" idx="2"/>
            </xdr:cNvCxnSpPr>
          </xdr:nvCxnSpPr>
          <xdr:spPr>
            <a:xfrm rot="5400000" flipH="1" flipV="1">
              <a:off x="1384967" y="408069"/>
              <a:ext cx="274668" cy="2054002"/>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23" name="Rectangle 222"/>
            <xdr:cNvSpPr/>
          </xdr:nvSpPr>
          <xdr:spPr>
            <a:xfrm>
              <a:off x="2094138" y="3745242"/>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a:t>
              </a:r>
            </a:p>
            <a:p>
              <a:pPr algn="ctr"/>
              <a:r>
                <a:rPr lang="en-US" sz="800"/>
                <a:t>1408</a:t>
              </a:r>
            </a:p>
          </xdr:txBody>
        </xdr:sp>
        <xdr:sp macro="" textlink="">
          <xdr:nvSpPr>
            <xdr:cNvPr id="224" name="Rectangle 223"/>
            <xdr:cNvSpPr/>
          </xdr:nvSpPr>
          <xdr:spPr>
            <a:xfrm>
              <a:off x="7324084" y="3801562"/>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Community Develop. Assistant </a:t>
              </a:r>
            </a:p>
            <a:p>
              <a:pPr algn="ctr"/>
              <a:r>
                <a:rPr lang="en-US" sz="800"/>
                <a:t>9770</a:t>
              </a:r>
              <a:endParaRPr lang="en-US" sz="800">
                <a:solidFill>
                  <a:srgbClr val="FF0000"/>
                </a:solidFill>
              </a:endParaRPr>
            </a:p>
          </xdr:txBody>
        </xdr:sp>
        <xdr:sp macro="" textlink="">
          <xdr:nvSpPr>
            <xdr:cNvPr id="225" name="Rectangle 224"/>
            <xdr:cNvSpPr/>
          </xdr:nvSpPr>
          <xdr:spPr>
            <a:xfrm>
              <a:off x="243840" y="3745242"/>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Programmer Analyst </a:t>
              </a:r>
            </a:p>
            <a:p>
              <a:pPr algn="ctr"/>
              <a:r>
                <a:rPr lang="en-US" sz="800"/>
                <a:t>1062</a:t>
              </a:r>
              <a:endParaRPr lang="en-US" sz="800">
                <a:solidFill>
                  <a:srgbClr val="FF0000"/>
                </a:solidFill>
              </a:endParaRPr>
            </a:p>
          </xdr:txBody>
        </xdr:sp>
        <xdr:sp macro="" textlink="">
          <xdr:nvSpPr>
            <xdr:cNvPr id="226" name="Rectangle 225"/>
            <xdr:cNvSpPr/>
          </xdr:nvSpPr>
          <xdr:spPr>
            <a:xfrm>
              <a:off x="4584516" y="3745242"/>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a:t>
              </a:r>
              <a:br>
                <a:rPr lang="en-US" sz="800"/>
              </a:br>
              <a:r>
                <a:rPr lang="en-US" sz="800"/>
                <a:t>Clerk</a:t>
              </a:r>
            </a:p>
            <a:p>
              <a:pPr algn="ctr"/>
              <a:r>
                <a:rPr lang="en-US" sz="800"/>
                <a:t>1403 </a:t>
              </a:r>
            </a:p>
          </xdr:txBody>
        </xdr:sp>
        <xdr:sp macro="" textlink="">
          <xdr:nvSpPr>
            <xdr:cNvPr id="227" name="Rectangle 226"/>
            <xdr:cNvSpPr/>
          </xdr:nvSpPr>
          <xdr:spPr>
            <a:xfrm>
              <a:off x="5774540" y="4542453"/>
              <a:ext cx="640080" cy="65009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 Payroll Clerk</a:t>
              </a:r>
            </a:p>
            <a:p>
              <a:pPr algn="ctr"/>
              <a:r>
                <a:rPr lang="en-US" sz="800"/>
                <a:t>1220</a:t>
              </a:r>
              <a:endParaRPr lang="en-US" sz="800">
                <a:solidFill>
                  <a:srgbClr val="FF0000"/>
                </a:solidFill>
              </a:endParaRPr>
            </a:p>
          </xdr:txBody>
        </xdr:sp>
        <xdr:sp macro="" textlink="">
          <xdr:nvSpPr>
            <xdr:cNvPr id="228" name="Rectangle 227"/>
            <xdr:cNvSpPr/>
          </xdr:nvSpPr>
          <xdr:spPr>
            <a:xfrm>
              <a:off x="4584516"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Campaign Services Manager</a:t>
              </a:r>
            </a:p>
            <a:p>
              <a:pPr algn="ctr"/>
              <a:r>
                <a:rPr lang="en-US" sz="800"/>
                <a:t>1410</a:t>
              </a:r>
              <a:endParaRPr lang="en-US" sz="800">
                <a:solidFill>
                  <a:srgbClr val="FF0000"/>
                </a:solidFill>
              </a:endParaRPr>
            </a:p>
          </xdr:txBody>
        </xdr:sp>
        <xdr:sp macro="" textlink="">
          <xdr:nvSpPr>
            <xdr:cNvPr id="229" name="Rectangle 228"/>
            <xdr:cNvSpPr/>
          </xdr:nvSpPr>
          <xdr:spPr>
            <a:xfrm>
              <a:off x="1168989"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Ballot Distribution</a:t>
              </a:r>
            </a:p>
            <a:p>
              <a:pPr algn="ctr"/>
              <a:r>
                <a:rPr lang="en-US" sz="800"/>
                <a:t>Manager</a:t>
              </a:r>
            </a:p>
            <a:p>
              <a:pPr algn="ctr"/>
              <a:r>
                <a:rPr lang="en-US" sz="800"/>
                <a:t>1410</a:t>
              </a:r>
            </a:p>
          </xdr:txBody>
        </xdr:sp>
        <xdr:sp macro="" textlink="">
          <xdr:nvSpPr>
            <xdr:cNvPr id="230" name="Rectangle 229"/>
            <xdr:cNvSpPr/>
          </xdr:nvSpPr>
          <xdr:spPr>
            <a:xfrm>
              <a:off x="6542449"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 Publications </a:t>
              </a:r>
            </a:p>
            <a:p>
              <a:pPr algn="ctr"/>
              <a:r>
                <a:rPr lang="en-US" sz="800"/>
                <a:t>Manager</a:t>
              </a:r>
            </a:p>
            <a:p>
              <a:pPr marL="52388" algn="ctr"/>
              <a:r>
                <a:rPr lang="en-US" sz="800"/>
                <a:t>1842</a:t>
              </a:r>
              <a:endParaRPr lang="en-US" sz="800">
                <a:solidFill>
                  <a:srgbClr val="FF0000"/>
                </a:solidFill>
              </a:endParaRPr>
            </a:p>
          </xdr:txBody>
        </xdr:sp>
        <xdr:sp macro="" textlink="">
          <xdr:nvSpPr>
            <xdr:cNvPr id="231" name="Rectangle 230"/>
            <xdr:cNvSpPr/>
          </xdr:nvSpPr>
          <xdr:spPr>
            <a:xfrm>
              <a:off x="7319690"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Outreach Manager </a:t>
              </a:r>
              <a:br>
                <a:rPr lang="en-US" sz="800"/>
              </a:br>
              <a:r>
                <a:rPr lang="en-US" sz="800"/>
                <a:t>1842</a:t>
              </a:r>
              <a:endParaRPr lang="en-US" sz="800">
                <a:solidFill>
                  <a:srgbClr val="FF0000"/>
                </a:solidFill>
              </a:endParaRPr>
            </a:p>
          </xdr:txBody>
        </xdr:sp>
        <xdr:sp macro="" textlink="">
          <xdr:nvSpPr>
            <xdr:cNvPr id="232" name="Rectangle 231"/>
            <xdr:cNvSpPr/>
          </xdr:nvSpPr>
          <xdr:spPr>
            <a:xfrm>
              <a:off x="2094138"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 Voter Services Manager</a:t>
              </a:r>
            </a:p>
            <a:p>
              <a:pPr algn="ctr"/>
              <a:r>
                <a:rPr lang="en-US" sz="800"/>
                <a:t>1410</a:t>
              </a:r>
            </a:p>
          </xdr:txBody>
        </xdr:sp>
        <xdr:sp macro="" textlink="">
          <xdr:nvSpPr>
            <xdr:cNvPr id="233" name="Rectangle 232"/>
            <xdr:cNvSpPr/>
          </xdr:nvSpPr>
          <xdr:spPr>
            <a:xfrm>
              <a:off x="8107680"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Precinct Services Manager</a:t>
              </a:r>
            </a:p>
            <a:p>
              <a:pPr algn="ctr"/>
              <a:r>
                <a:rPr lang="en-US" sz="800"/>
                <a:t>1410</a:t>
              </a:r>
              <a:endParaRPr lang="en-US" sz="800">
                <a:solidFill>
                  <a:srgbClr val="FF0000"/>
                </a:solidFill>
              </a:endParaRPr>
            </a:p>
          </xdr:txBody>
        </xdr:sp>
        <xdr:sp macro="" textlink="">
          <xdr:nvSpPr>
            <xdr:cNvPr id="234" name="Rectangle 233"/>
            <xdr:cNvSpPr/>
          </xdr:nvSpPr>
          <xdr:spPr>
            <a:xfrm>
              <a:off x="243840"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solidFill>
                    <a:schemeClr val="tx1"/>
                  </a:solidFill>
                </a:rPr>
                <a:t>IT Manager</a:t>
              </a:r>
            </a:p>
            <a:p>
              <a:pPr algn="ctr"/>
              <a:r>
                <a:rPr lang="en-US" sz="800">
                  <a:solidFill>
                    <a:schemeClr val="tx1"/>
                  </a:solidFill>
                </a:rPr>
                <a:t>1094 </a:t>
              </a:r>
            </a:p>
          </xdr:txBody>
        </xdr:sp>
        <xdr:sp macro="" textlink="">
          <xdr:nvSpPr>
            <xdr:cNvPr id="235" name="Rectangle 234"/>
            <xdr:cNvSpPr/>
          </xdr:nvSpPr>
          <xdr:spPr>
            <a:xfrm>
              <a:off x="1168989"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a:t>
              </a:r>
            </a:p>
            <a:p>
              <a:pPr algn="ctr"/>
              <a:r>
                <a:rPr lang="en-US" sz="800"/>
                <a:t>1840 </a:t>
              </a:r>
            </a:p>
          </xdr:txBody>
        </xdr:sp>
        <xdr:sp macro="" textlink="">
          <xdr:nvSpPr>
            <xdr:cNvPr id="236" name="Rectangle 235"/>
            <xdr:cNvSpPr/>
          </xdr:nvSpPr>
          <xdr:spPr>
            <a:xfrm>
              <a:off x="4584516"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 </a:t>
              </a:r>
            </a:p>
            <a:p>
              <a:pPr algn="ctr"/>
              <a:r>
                <a:rPr lang="en-US" sz="800"/>
                <a:t>1408</a:t>
              </a:r>
            </a:p>
          </xdr:txBody>
        </xdr:sp>
        <xdr:sp macro="" textlink="">
          <xdr:nvSpPr>
            <xdr:cNvPr id="237" name="Rectangle 236"/>
            <xdr:cNvSpPr/>
          </xdr:nvSpPr>
          <xdr:spPr>
            <a:xfrm>
              <a:off x="2094138"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a:t>
              </a:r>
            </a:p>
            <a:p>
              <a:pPr algn="ctr"/>
              <a:r>
                <a:rPr lang="en-US" sz="800"/>
                <a:t>1408</a:t>
              </a:r>
              <a:endParaRPr lang="en-US" sz="800">
                <a:solidFill>
                  <a:srgbClr val="FF0000"/>
                </a:solidFill>
              </a:endParaRPr>
            </a:p>
          </xdr:txBody>
        </xdr:sp>
        <xdr:sp macro="" textlink="">
          <xdr:nvSpPr>
            <xdr:cNvPr id="238" name="Rectangle 237"/>
            <xdr:cNvSpPr/>
          </xdr:nvSpPr>
          <xdr:spPr>
            <a:xfrm>
              <a:off x="6542449" y="3791366"/>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Clerk</a:t>
              </a:r>
            </a:p>
            <a:p>
              <a:pPr algn="ctr"/>
              <a:r>
                <a:rPr lang="en-US" sz="800"/>
                <a:t>1403</a:t>
              </a:r>
            </a:p>
          </xdr:txBody>
        </xdr:sp>
        <xdr:sp macro="" textlink="">
          <xdr:nvSpPr>
            <xdr:cNvPr id="239" name="Rectangle 238"/>
            <xdr:cNvSpPr/>
          </xdr:nvSpPr>
          <xdr:spPr>
            <a:xfrm>
              <a:off x="243840"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solidFill>
                    <a:schemeClr val="tx1"/>
                  </a:solidFill>
                </a:rPr>
                <a:t>Database Analyst</a:t>
              </a:r>
            </a:p>
            <a:p>
              <a:pPr algn="ctr"/>
              <a:r>
                <a:rPr lang="en-US" sz="800">
                  <a:solidFill>
                    <a:schemeClr val="tx1"/>
                  </a:solidFill>
                </a:rPr>
                <a:t>1052</a:t>
              </a:r>
            </a:p>
          </xdr:txBody>
        </xdr:sp>
        <xdr:sp macro="" textlink="">
          <xdr:nvSpPr>
            <xdr:cNvPr id="240" name="Rectangle 239"/>
            <xdr:cNvSpPr/>
          </xdr:nvSpPr>
          <xdr:spPr>
            <a:xfrm>
              <a:off x="8107680"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 </a:t>
              </a:r>
            </a:p>
            <a:p>
              <a:pPr algn="ctr"/>
              <a:r>
                <a:rPr lang="en-US" sz="800"/>
                <a:t>1840</a:t>
              </a:r>
            </a:p>
          </xdr:txBody>
        </xdr:sp>
        <xdr:sp macro="" textlink="">
          <xdr:nvSpPr>
            <xdr:cNvPr id="241" name="Rectangle 240"/>
            <xdr:cNvSpPr/>
          </xdr:nvSpPr>
          <xdr:spPr>
            <a:xfrm>
              <a:off x="3305513" y="3048008"/>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Clerk </a:t>
              </a:r>
            </a:p>
            <a:p>
              <a:pPr algn="ctr"/>
              <a:r>
                <a:rPr lang="en-US" sz="800"/>
                <a:t>1403</a:t>
              </a:r>
            </a:p>
          </xdr:txBody>
        </xdr:sp>
        <xdr:sp macro="" textlink="">
          <xdr:nvSpPr>
            <xdr:cNvPr id="242" name="Rectangle 241"/>
            <xdr:cNvSpPr/>
          </xdr:nvSpPr>
          <xdr:spPr>
            <a:xfrm>
              <a:off x="8884920" y="3000381"/>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 </a:t>
              </a:r>
            </a:p>
            <a:p>
              <a:pPr algn="ctr"/>
              <a:r>
                <a:rPr lang="en-US" sz="800"/>
                <a:t>1840</a:t>
              </a:r>
            </a:p>
          </xdr:txBody>
        </xdr:sp>
        <xdr:sp macro="" textlink="">
          <xdr:nvSpPr>
            <xdr:cNvPr id="243" name="Rectangle 242"/>
            <xdr:cNvSpPr/>
          </xdr:nvSpPr>
          <xdr:spPr>
            <a:xfrm>
              <a:off x="8884920" y="2255520"/>
              <a:ext cx="640080" cy="622348"/>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Poll Worker &amp;</a:t>
              </a:r>
              <a:br>
                <a:rPr lang="en-US" sz="800"/>
              </a:br>
              <a:r>
                <a:rPr lang="en-US" sz="800"/>
                <a:t>Field Support Manager </a:t>
              </a:r>
            </a:p>
            <a:p>
              <a:pPr algn="ctr"/>
              <a:r>
                <a:rPr lang="en-US" sz="800"/>
                <a:t>1842</a:t>
              </a:r>
            </a:p>
          </xdr:txBody>
        </xdr:sp>
        <xdr:sp macro="" textlink="">
          <xdr:nvSpPr>
            <xdr:cNvPr id="244" name="Rectangle 243"/>
            <xdr:cNvSpPr/>
          </xdr:nvSpPr>
          <xdr:spPr>
            <a:xfrm>
              <a:off x="5754460" y="225552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Management Assistant </a:t>
              </a:r>
            </a:p>
            <a:p>
              <a:pPr algn="ctr"/>
              <a:r>
                <a:rPr lang="en-US" sz="800"/>
                <a:t>1842</a:t>
              </a:r>
            </a:p>
            <a:p>
              <a:pPr algn="ctr"/>
              <a:r>
                <a:rPr lang="en-US" sz="800"/>
                <a:t>(Information Development)</a:t>
              </a:r>
            </a:p>
          </xdr:txBody>
        </xdr:sp>
        <xdr:sp macro="" textlink="">
          <xdr:nvSpPr>
            <xdr:cNvPr id="245" name="Rectangle 244"/>
            <xdr:cNvSpPr/>
          </xdr:nvSpPr>
          <xdr:spPr>
            <a:xfrm>
              <a:off x="3271700" y="2234025"/>
              <a:ext cx="707707"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solidFill>
                    <a:schemeClr val="dk1"/>
                  </a:solidFill>
                </a:rPr>
                <a:t>L&amp;A/Warehouse  Manager</a:t>
              </a:r>
            </a:p>
            <a:p>
              <a:pPr algn="ctr"/>
              <a:r>
                <a:rPr lang="en-US" sz="800">
                  <a:solidFill>
                    <a:schemeClr val="dk1"/>
                  </a:solidFill>
                </a:rPr>
                <a:t>1842</a:t>
              </a:r>
            </a:p>
          </xdr:txBody>
        </xdr:sp>
        <xdr:cxnSp macro="">
          <xdr:nvCxnSpPr>
            <xdr:cNvPr id="246" name="Elbow Connector 245"/>
            <xdr:cNvCxnSpPr>
              <a:stCxn id="243" idx="0"/>
              <a:endCxn id="210" idx="2"/>
            </xdr:cNvCxnSpPr>
          </xdr:nvCxnSpPr>
          <xdr:spPr>
            <a:xfrm rot="16200000" flipV="1">
              <a:off x="8896350" y="1946910"/>
              <a:ext cx="228600" cy="388620"/>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7" name="Elbow Connector 246"/>
            <xdr:cNvCxnSpPr>
              <a:stCxn id="233" idx="0"/>
              <a:endCxn id="210" idx="2"/>
            </xdr:cNvCxnSpPr>
          </xdr:nvCxnSpPr>
          <xdr:spPr>
            <a:xfrm rot="5400000" flipH="1" flipV="1">
              <a:off x="8507730" y="1946910"/>
              <a:ext cx="228600" cy="388620"/>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8" name="Elbow Connector 247"/>
            <xdr:cNvCxnSpPr>
              <a:stCxn id="230" idx="0"/>
              <a:endCxn id="212" idx="2"/>
            </xdr:cNvCxnSpPr>
          </xdr:nvCxnSpPr>
          <xdr:spPr>
            <a:xfrm rot="5400000" flipH="1" flipV="1">
              <a:off x="6942499" y="1946910"/>
              <a:ext cx="228600" cy="388621"/>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9" name="Elbow Connector 248"/>
            <xdr:cNvCxnSpPr>
              <a:stCxn id="231" idx="0"/>
              <a:endCxn id="212" idx="2"/>
            </xdr:cNvCxnSpPr>
          </xdr:nvCxnSpPr>
          <xdr:spPr>
            <a:xfrm rot="16200000" flipV="1">
              <a:off x="7331120" y="1946910"/>
              <a:ext cx="228600" cy="388620"/>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1" name="Elbow Connector 250"/>
            <xdr:cNvCxnSpPr/>
          </xdr:nvCxnSpPr>
          <xdr:spPr>
            <a:xfrm rot="10800000" flipH="1">
              <a:off x="4592280" y="2026920"/>
              <a:ext cx="251460" cy="548640"/>
            </a:xfrm>
            <a:prstGeom prst="bentConnector4">
              <a:avLst>
                <a:gd name="adj1" fmla="val -90909"/>
                <a:gd name="adj2" fmla="val 791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2" name="Elbow Connector 251"/>
            <xdr:cNvCxnSpPr>
              <a:stCxn id="236" idx="1"/>
              <a:endCxn id="228" idx="1"/>
            </xdr:cNvCxnSpPr>
          </xdr:nvCxnSpPr>
          <xdr:spPr>
            <a:xfrm rot="10800000">
              <a:off x="4584516" y="2575561"/>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3" name="Elbow Connector 252"/>
            <xdr:cNvCxnSpPr>
              <a:stCxn id="226" idx="1"/>
              <a:endCxn id="236" idx="1"/>
            </xdr:cNvCxnSpPr>
          </xdr:nvCxnSpPr>
          <xdr:spPr>
            <a:xfrm rot="10800000">
              <a:off x="4584516" y="3320422"/>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54" name="Rectangle 253"/>
            <xdr:cNvSpPr/>
          </xdr:nvSpPr>
          <xdr:spPr>
            <a:xfrm>
              <a:off x="5754460" y="3063508"/>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Management Assistant </a:t>
              </a:r>
            </a:p>
            <a:p>
              <a:pPr algn="ctr"/>
              <a:r>
                <a:rPr lang="en-US" sz="800"/>
                <a:t>1842</a:t>
              </a:r>
            </a:p>
            <a:p>
              <a:pPr algn="ctr"/>
              <a:r>
                <a:rPr lang="en-US" sz="800"/>
                <a:t>(Fiscal &amp; Payroll Activities) </a:t>
              </a:r>
            </a:p>
          </xdr:txBody>
        </xdr:sp>
        <xdr:sp macro="" textlink="">
          <xdr:nvSpPr>
            <xdr:cNvPr id="255" name="Rectangle 254"/>
            <xdr:cNvSpPr/>
          </xdr:nvSpPr>
          <xdr:spPr>
            <a:xfrm>
              <a:off x="1647825" y="4500113"/>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a:t>
              </a:r>
              <a:br>
                <a:rPr lang="en-US" sz="800"/>
              </a:br>
              <a:r>
                <a:rPr lang="en-US" sz="800"/>
                <a:t>Clerk</a:t>
              </a:r>
            </a:p>
            <a:p>
              <a:pPr algn="ctr"/>
              <a:r>
                <a:rPr lang="en-US" sz="800"/>
                <a:t>1403</a:t>
              </a:r>
            </a:p>
          </xdr:txBody>
        </xdr:sp>
        <xdr:sp macro="" textlink="">
          <xdr:nvSpPr>
            <xdr:cNvPr id="256" name="Rectangle 255"/>
            <xdr:cNvSpPr/>
          </xdr:nvSpPr>
          <xdr:spPr>
            <a:xfrm>
              <a:off x="243840" y="4500113"/>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 Programmer Analyst </a:t>
              </a:r>
            </a:p>
            <a:p>
              <a:pPr algn="ctr"/>
              <a:r>
                <a:rPr lang="en-US" sz="800"/>
                <a:t>1062</a:t>
              </a:r>
            </a:p>
          </xdr:txBody>
        </xdr:sp>
        <xdr:sp macro="" textlink="">
          <xdr:nvSpPr>
            <xdr:cNvPr id="257" name="Rectangle 256"/>
            <xdr:cNvSpPr/>
          </xdr:nvSpPr>
          <xdr:spPr>
            <a:xfrm>
              <a:off x="2540046" y="4500113"/>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a:t>
              </a:r>
              <a:br>
                <a:rPr lang="en-US" sz="800"/>
              </a:br>
              <a:r>
                <a:rPr lang="en-US" sz="800"/>
                <a:t>Clerk</a:t>
              </a:r>
            </a:p>
            <a:p>
              <a:pPr algn="ctr"/>
              <a:r>
                <a:rPr lang="en-US" sz="800"/>
                <a:t>1403</a:t>
              </a:r>
            </a:p>
          </xdr:txBody>
        </xdr:sp>
        <xdr:sp macro="" textlink="">
          <xdr:nvSpPr>
            <xdr:cNvPr id="258" name="Rectangle 257"/>
            <xdr:cNvSpPr/>
          </xdr:nvSpPr>
          <xdr:spPr>
            <a:xfrm>
              <a:off x="5754143" y="3789398"/>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Assistant Purchaser </a:t>
              </a:r>
            </a:p>
            <a:p>
              <a:pPr algn="ctr"/>
              <a:r>
                <a:rPr lang="en-US" sz="800"/>
                <a:t>1950</a:t>
              </a:r>
            </a:p>
          </xdr:txBody>
        </xdr:sp>
        <xdr:sp macro="" textlink="">
          <xdr:nvSpPr>
            <xdr:cNvPr id="259" name="Rectangle 258"/>
            <xdr:cNvSpPr/>
          </xdr:nvSpPr>
          <xdr:spPr>
            <a:xfrm>
              <a:off x="1647825" y="5244974"/>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a:t>
              </a:r>
              <a:br>
                <a:rPr lang="en-US" sz="800"/>
              </a:br>
              <a:r>
                <a:rPr lang="en-US" sz="800"/>
                <a:t>Clerk</a:t>
              </a:r>
            </a:p>
            <a:p>
              <a:pPr algn="ctr"/>
              <a:r>
                <a:rPr lang="en-US" sz="800"/>
                <a:t>1403 </a:t>
              </a:r>
            </a:p>
          </xdr:txBody>
        </xdr:sp>
        <xdr:sp macro="" textlink="">
          <xdr:nvSpPr>
            <xdr:cNvPr id="260" name="Rectangle 259"/>
            <xdr:cNvSpPr/>
          </xdr:nvSpPr>
          <xdr:spPr>
            <a:xfrm>
              <a:off x="2540046" y="5244974"/>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a:t>
              </a:r>
              <a:br>
                <a:rPr lang="en-US" sz="800"/>
              </a:br>
              <a:r>
                <a:rPr lang="en-US" sz="800"/>
                <a:t>Clerk</a:t>
              </a:r>
            </a:p>
            <a:p>
              <a:pPr algn="ctr"/>
              <a:r>
                <a:rPr lang="en-US" sz="800"/>
                <a:t>1403</a:t>
              </a:r>
            </a:p>
          </xdr:txBody>
        </xdr:sp>
        <xdr:cxnSp macro="">
          <xdr:nvCxnSpPr>
            <xdr:cNvPr id="261" name="Elbow Connector 260"/>
            <xdr:cNvCxnSpPr>
              <a:stCxn id="257" idx="1"/>
              <a:endCxn id="223" idx="2"/>
            </xdr:cNvCxnSpPr>
          </xdr:nvCxnSpPr>
          <xdr:spPr>
            <a:xfrm rot="10800000">
              <a:off x="2414178" y="4385323"/>
              <a:ext cx="125868" cy="434831"/>
            </a:xfrm>
            <a:prstGeom prst="bentConnector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2" name="Elbow Connector 261"/>
            <xdr:cNvCxnSpPr>
              <a:stCxn id="255" idx="3"/>
              <a:endCxn id="223" idx="2"/>
            </xdr:cNvCxnSpPr>
          </xdr:nvCxnSpPr>
          <xdr:spPr>
            <a:xfrm flipV="1">
              <a:off x="2287905" y="4385322"/>
              <a:ext cx="126273" cy="434831"/>
            </a:xfrm>
            <a:prstGeom prst="bentConnector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3" name="Elbow Connector 262"/>
            <xdr:cNvCxnSpPr/>
          </xdr:nvCxnSpPr>
          <xdr:spPr>
            <a:xfrm flipV="1">
              <a:off x="2280140" y="4835013"/>
              <a:ext cx="124236" cy="754587"/>
            </a:xfrm>
            <a:prstGeom prst="bentConnector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5" name="Elbow Connector 264"/>
            <xdr:cNvCxnSpPr/>
          </xdr:nvCxnSpPr>
          <xdr:spPr>
            <a:xfrm rot="10800000" flipH="1">
              <a:off x="2101903" y="2026920"/>
              <a:ext cx="251460" cy="548640"/>
            </a:xfrm>
            <a:prstGeom prst="bentConnector4">
              <a:avLst>
                <a:gd name="adj1" fmla="val -90909"/>
                <a:gd name="adj2" fmla="val 791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7" name="Elbow Connector 266"/>
            <xdr:cNvCxnSpPr/>
          </xdr:nvCxnSpPr>
          <xdr:spPr>
            <a:xfrm rot="5400000" flipH="1" flipV="1">
              <a:off x="-11845" y="2075565"/>
              <a:ext cx="557753" cy="460463"/>
            </a:xfrm>
            <a:prstGeom prst="bentConnector3">
              <a:avLst>
                <a:gd name="adj1" fmla="val 7497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8" name="Elbow Connector 267"/>
            <xdr:cNvCxnSpPr>
              <a:stCxn id="237" idx="1"/>
              <a:endCxn id="232" idx="1"/>
            </xdr:cNvCxnSpPr>
          </xdr:nvCxnSpPr>
          <xdr:spPr>
            <a:xfrm rot="10800000">
              <a:off x="2094138" y="2575561"/>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9" name="Elbow Connector 268"/>
            <xdr:cNvCxnSpPr>
              <a:stCxn id="223" idx="1"/>
              <a:endCxn id="237" idx="1"/>
            </xdr:cNvCxnSpPr>
          </xdr:nvCxnSpPr>
          <xdr:spPr>
            <a:xfrm rot="10800000">
              <a:off x="2094138" y="3320422"/>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1" name="Elbow Connector 270"/>
            <xdr:cNvCxnSpPr>
              <a:stCxn id="239" idx="1"/>
              <a:endCxn id="234" idx="1"/>
            </xdr:cNvCxnSpPr>
          </xdr:nvCxnSpPr>
          <xdr:spPr>
            <a:xfrm rot="10800000">
              <a:off x="243840" y="2575561"/>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2" name="Elbow Connector 271"/>
            <xdr:cNvCxnSpPr>
              <a:stCxn id="225" idx="1"/>
              <a:endCxn id="239" idx="1"/>
            </xdr:cNvCxnSpPr>
          </xdr:nvCxnSpPr>
          <xdr:spPr>
            <a:xfrm rot="10800000">
              <a:off x="243840" y="3320422"/>
              <a:ext cx="12700" cy="74486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3" name="Elbow Connector 272"/>
            <xdr:cNvCxnSpPr>
              <a:stCxn id="256" idx="1"/>
              <a:endCxn id="225" idx="1"/>
            </xdr:cNvCxnSpPr>
          </xdr:nvCxnSpPr>
          <xdr:spPr>
            <a:xfrm rot="10800000">
              <a:off x="243840" y="4065283"/>
              <a:ext cx="12700" cy="754871"/>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4" name="Straight Connector 273"/>
            <xdr:cNvCxnSpPr>
              <a:stCxn id="240" idx="0"/>
              <a:endCxn id="233" idx="2"/>
            </xdr:cNvCxnSpPr>
          </xdr:nvCxnSpPr>
          <xdr:spPr>
            <a:xfrm flipV="1">
              <a:off x="8427720" y="2895600"/>
              <a:ext cx="0" cy="1047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5" name="Straight Connector 274"/>
            <xdr:cNvCxnSpPr/>
          </xdr:nvCxnSpPr>
          <xdr:spPr>
            <a:xfrm flipH="1">
              <a:off x="5224596" y="2583755"/>
              <a:ext cx="529864"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6" name="Straight Connector 275"/>
            <xdr:cNvCxnSpPr>
              <a:stCxn id="207" idx="2"/>
            </xdr:cNvCxnSpPr>
          </xdr:nvCxnSpPr>
          <xdr:spPr>
            <a:xfrm>
              <a:off x="3590787" y="2026920"/>
              <a:ext cx="0" cy="20710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7" name="Straight Connector 276"/>
            <xdr:cNvCxnSpPr>
              <a:stCxn id="245" idx="2"/>
              <a:endCxn id="241" idx="0"/>
            </xdr:cNvCxnSpPr>
          </xdr:nvCxnSpPr>
          <xdr:spPr>
            <a:xfrm flipH="1">
              <a:off x="3625553" y="2874105"/>
              <a:ext cx="1" cy="17390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79" name="Rectangle 278"/>
            <xdr:cNvSpPr/>
          </xdr:nvSpPr>
          <xdr:spPr>
            <a:xfrm>
              <a:off x="8513741" y="3813340"/>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Elections Clerk </a:t>
              </a:r>
            </a:p>
            <a:p>
              <a:pPr algn="ctr"/>
              <a:r>
                <a:rPr lang="en-US" sz="800"/>
                <a:t>1403</a:t>
              </a:r>
            </a:p>
          </xdr:txBody>
        </xdr:sp>
        <xdr:sp macro="" textlink="">
          <xdr:nvSpPr>
            <xdr:cNvPr id="281" name="Rectangle 280"/>
            <xdr:cNvSpPr/>
          </xdr:nvSpPr>
          <xdr:spPr>
            <a:xfrm>
              <a:off x="5760810" y="5279676"/>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Management Assistant</a:t>
              </a:r>
            </a:p>
            <a:p>
              <a:pPr algn="ctr"/>
              <a:r>
                <a:rPr lang="en-US" sz="800"/>
                <a:t>(Contracts)</a:t>
              </a:r>
            </a:p>
            <a:p>
              <a:pPr algn="ctr"/>
              <a:r>
                <a:rPr lang="en-US" sz="800"/>
                <a:t>1842</a:t>
              </a:r>
            </a:p>
          </xdr:txBody>
        </xdr:sp>
        <xdr:sp macro="" textlink="">
          <xdr:nvSpPr>
            <xdr:cNvPr id="282" name="Rectangle 281"/>
            <xdr:cNvSpPr/>
          </xdr:nvSpPr>
          <xdr:spPr>
            <a:xfrm>
              <a:off x="6939192" y="2984755"/>
              <a:ext cx="640080" cy="640080"/>
            </a:xfrm>
            <a:prstGeom prst="rect">
              <a:avLst/>
            </a:prstGeom>
            <a:solidFill>
              <a:schemeClr val="bg1">
                <a:lumMod val="85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r>
                <a:rPr lang="en-US" sz="800"/>
                <a:t>Lead </a:t>
              </a:r>
            </a:p>
            <a:p>
              <a:pPr algn="ctr"/>
              <a:r>
                <a:rPr lang="en-US" sz="800"/>
                <a:t>1840</a:t>
              </a:r>
            </a:p>
          </xdr:txBody>
        </xdr:sp>
      </xdr:grpSp>
      <xdr:cxnSp macro="">
        <xdr:nvCxnSpPr>
          <xdr:cNvPr id="198" name="Straight Connector 197"/>
          <xdr:cNvCxnSpPr/>
        </xdr:nvCxnSpPr>
        <xdr:spPr>
          <a:xfrm flipV="1">
            <a:off x="9222168" y="2882625"/>
            <a:ext cx="0" cy="10478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00" name="Rounded Rectangle 199"/>
          <xdr:cNvSpPr/>
        </xdr:nvSpPr>
        <xdr:spPr>
          <a:xfrm>
            <a:off x="6862488" y="5244974"/>
            <a:ext cx="2400798" cy="533400"/>
          </a:xfrm>
          <a:prstGeom prst="roundRect">
            <a:avLst/>
          </a:prstGeom>
          <a:solidFill>
            <a:schemeClr val="accent4">
              <a:lumMod val="60000"/>
              <a:lumOff val="40000"/>
            </a:schemeClr>
          </a:solidFill>
          <a:ln>
            <a:noFill/>
          </a:ln>
          <a:effectLst>
            <a:outerShdw blurRad="44450" dist="27940" dir="5400000" algn="ctr">
              <a:srgbClr val="000000">
                <a:alpha val="32000"/>
              </a:srgbClr>
            </a:outerShdw>
          </a:effectLst>
          <a:sp3d>
            <a:bevelT w="190500" h="38100"/>
          </a:sp3d>
        </xdr:spPr>
        <xdr:style>
          <a:lnRef idx="1">
            <a:schemeClr val="dk1"/>
          </a:lnRef>
          <a:fillRef idx="2">
            <a:schemeClr val="dk1"/>
          </a:fillRef>
          <a:effectRef idx="1">
            <a:schemeClr val="dk1"/>
          </a:effectRef>
          <a:fontRef idx="minor">
            <a:schemeClr val="dk1"/>
          </a:fontRef>
        </xdr:style>
        <xdr:txBody>
          <a:bodyPr wrap="square" lIns="0" tIns="0" rIns="0" bIns="0" anchor="ctr">
            <a:noAutofit/>
          </a:bodyPr>
          <a:lstStyle>
            <a:defPPr>
              <a:defRPr lang="en-US"/>
            </a:defPPr>
            <a:lvl1pPr marL="0" algn="l" defTabSz="1018824" rtl="0" eaLnBrk="1" latinLnBrk="0" hangingPunct="1">
              <a:defRPr sz="2000" kern="1200">
                <a:solidFill>
                  <a:schemeClr val="dk1"/>
                </a:solidFill>
                <a:latin typeface="+mn-lt"/>
                <a:ea typeface="+mn-ea"/>
                <a:cs typeface="+mn-cs"/>
              </a:defRPr>
            </a:lvl1pPr>
            <a:lvl2pPr marL="509412" algn="l" defTabSz="1018824" rtl="0" eaLnBrk="1" latinLnBrk="0" hangingPunct="1">
              <a:defRPr sz="2000" kern="1200">
                <a:solidFill>
                  <a:schemeClr val="dk1"/>
                </a:solidFill>
                <a:latin typeface="+mn-lt"/>
                <a:ea typeface="+mn-ea"/>
                <a:cs typeface="+mn-cs"/>
              </a:defRPr>
            </a:lvl2pPr>
            <a:lvl3pPr marL="1018824" algn="l" defTabSz="1018824" rtl="0" eaLnBrk="1" latinLnBrk="0" hangingPunct="1">
              <a:defRPr sz="2000" kern="1200">
                <a:solidFill>
                  <a:schemeClr val="dk1"/>
                </a:solidFill>
                <a:latin typeface="+mn-lt"/>
                <a:ea typeface="+mn-ea"/>
                <a:cs typeface="+mn-cs"/>
              </a:defRPr>
            </a:lvl3pPr>
            <a:lvl4pPr marL="1528237" algn="l" defTabSz="1018824" rtl="0" eaLnBrk="1" latinLnBrk="0" hangingPunct="1">
              <a:defRPr sz="2000" kern="1200">
                <a:solidFill>
                  <a:schemeClr val="dk1"/>
                </a:solidFill>
                <a:latin typeface="+mn-lt"/>
                <a:ea typeface="+mn-ea"/>
                <a:cs typeface="+mn-cs"/>
              </a:defRPr>
            </a:lvl4pPr>
            <a:lvl5pPr marL="2037649" algn="l" defTabSz="1018824" rtl="0" eaLnBrk="1" latinLnBrk="0" hangingPunct="1">
              <a:defRPr sz="2000" kern="1200">
                <a:solidFill>
                  <a:schemeClr val="dk1"/>
                </a:solidFill>
                <a:latin typeface="+mn-lt"/>
                <a:ea typeface="+mn-ea"/>
                <a:cs typeface="+mn-cs"/>
              </a:defRPr>
            </a:lvl5pPr>
            <a:lvl6pPr marL="2547061" algn="l" defTabSz="1018824" rtl="0" eaLnBrk="1" latinLnBrk="0" hangingPunct="1">
              <a:defRPr sz="2000" kern="1200">
                <a:solidFill>
                  <a:schemeClr val="dk1"/>
                </a:solidFill>
                <a:latin typeface="+mn-lt"/>
                <a:ea typeface="+mn-ea"/>
                <a:cs typeface="+mn-cs"/>
              </a:defRPr>
            </a:lvl6pPr>
            <a:lvl7pPr marL="3056473" algn="l" defTabSz="1018824" rtl="0" eaLnBrk="1" latinLnBrk="0" hangingPunct="1">
              <a:defRPr sz="2000" kern="1200">
                <a:solidFill>
                  <a:schemeClr val="dk1"/>
                </a:solidFill>
                <a:latin typeface="+mn-lt"/>
                <a:ea typeface="+mn-ea"/>
                <a:cs typeface="+mn-cs"/>
              </a:defRPr>
            </a:lvl7pPr>
            <a:lvl8pPr marL="3565886" algn="l" defTabSz="1018824" rtl="0" eaLnBrk="1" latinLnBrk="0" hangingPunct="1">
              <a:defRPr sz="2000" kern="1200">
                <a:solidFill>
                  <a:schemeClr val="dk1"/>
                </a:solidFill>
                <a:latin typeface="+mn-lt"/>
                <a:ea typeface="+mn-ea"/>
                <a:cs typeface="+mn-cs"/>
              </a:defRPr>
            </a:lvl8pPr>
            <a:lvl9pPr marL="4075298" algn="l" defTabSz="1018824" rtl="0" eaLnBrk="1" latinLnBrk="0" hangingPunct="1">
              <a:defRPr sz="2000" kern="1200">
                <a:solidFill>
                  <a:schemeClr val="dk1"/>
                </a:solidFill>
                <a:latin typeface="+mn-lt"/>
                <a:ea typeface="+mn-ea"/>
                <a:cs typeface="+mn-cs"/>
              </a:defRPr>
            </a:lvl9pPr>
          </a:lstStyle>
          <a:p>
            <a:pPr algn="ctr"/>
            <a:endParaRPr lang="en-US" sz="800">
              <a:solidFill>
                <a:schemeClr val="tx1"/>
              </a:solidFill>
            </a:endParaRPr>
          </a:p>
          <a:p>
            <a:r>
              <a:rPr lang="en-US" sz="800">
                <a:solidFill>
                  <a:schemeClr val="tx1"/>
                </a:solidFill>
              </a:rPr>
              <a:t>Notes: </a:t>
            </a:r>
          </a:p>
          <a:p>
            <a:r>
              <a:rPr lang="en-US" sz="800">
                <a:solidFill>
                  <a:schemeClr val="tx1"/>
                </a:solidFill>
              </a:rPr>
              <a:t>1471 (2.75 FTEs) – Proposed Substitute 1840 (1 FTE) and 1092 (1 FTE)</a:t>
            </a:r>
          </a:p>
          <a:p>
            <a:pPr algn="ctr"/>
            <a:r>
              <a:rPr lang="en-US" sz="800">
                <a:solidFill>
                  <a:schemeClr val="tx1"/>
                </a:solidFill>
              </a:rPr>
              <a:t> </a:t>
            </a:r>
          </a:p>
        </xdr:txBody>
      </xdr:sp>
    </xdr:grpSp>
    <xdr:clientData/>
  </xdr:twoCellAnchor>
  <xdr:twoCellAnchor>
    <xdr:from>
      <xdr:col>3</xdr:col>
      <xdr:colOff>1419225</xdr:colOff>
      <xdr:row>30</xdr:row>
      <xdr:rowOff>19050</xdr:rowOff>
    </xdr:from>
    <xdr:to>
      <xdr:col>3</xdr:col>
      <xdr:colOff>1594455</xdr:colOff>
      <xdr:row>34</xdr:row>
      <xdr:rowOff>187302</xdr:rowOff>
    </xdr:to>
    <xdr:cxnSp macro="">
      <xdr:nvCxnSpPr>
        <xdr:cNvPr id="301" name="Elbow Connector 300"/>
        <xdr:cNvCxnSpPr/>
      </xdr:nvCxnSpPr>
      <xdr:spPr>
        <a:xfrm rot="16200000" flipV="1">
          <a:off x="3251514" y="6664011"/>
          <a:ext cx="930252" cy="175230"/>
        </a:xfrm>
        <a:prstGeom prst="bentConnector3">
          <a:avLst>
            <a:gd name="adj1" fmla="val -119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1838325</xdr:colOff>
      <xdr:row>13</xdr:row>
      <xdr:rowOff>85725</xdr:rowOff>
    </xdr:from>
    <xdr:to>
      <xdr:col>6</xdr:col>
      <xdr:colOff>2146801</xdr:colOff>
      <xdr:row>16</xdr:row>
      <xdr:rowOff>151881</xdr:rowOff>
    </xdr:to>
    <xdr:cxnSp macro="">
      <xdr:nvCxnSpPr>
        <xdr:cNvPr id="406" name="Elbow Connector 405"/>
        <xdr:cNvCxnSpPr/>
      </xdr:nvCxnSpPr>
      <xdr:spPr>
        <a:xfrm rot="10800000" flipH="1">
          <a:off x="7705725" y="3114675"/>
          <a:ext cx="308476" cy="637656"/>
        </a:xfrm>
        <a:prstGeom prst="bentConnector4">
          <a:avLst>
            <a:gd name="adj1" fmla="val -90909"/>
            <a:gd name="adj2" fmla="val 7916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1828800</xdr:colOff>
      <xdr:row>16</xdr:row>
      <xdr:rowOff>142875</xdr:rowOff>
    </xdr:from>
    <xdr:to>
      <xdr:col>6</xdr:col>
      <xdr:colOff>1844380</xdr:colOff>
      <xdr:row>21</xdr:row>
      <xdr:rowOff>56089</xdr:rowOff>
    </xdr:to>
    <xdr:cxnSp macro="">
      <xdr:nvCxnSpPr>
        <xdr:cNvPr id="407" name="Elbow Connector 406"/>
        <xdr:cNvCxnSpPr/>
      </xdr:nvCxnSpPr>
      <xdr:spPr>
        <a:xfrm rot="10800000">
          <a:off x="7696200" y="3743325"/>
          <a:ext cx="15580" cy="865714"/>
        </a:xfrm>
        <a:prstGeom prst="bentConnector3">
          <a:avLst>
            <a:gd name="adj1" fmla="val 180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1562100</xdr:colOff>
      <xdr:row>21</xdr:row>
      <xdr:rowOff>57152</xdr:rowOff>
    </xdr:from>
    <xdr:to>
      <xdr:col>6</xdr:col>
      <xdr:colOff>1859318</xdr:colOff>
      <xdr:row>35</xdr:row>
      <xdr:rowOff>18082</xdr:rowOff>
    </xdr:to>
    <xdr:cxnSp macro="">
      <xdr:nvCxnSpPr>
        <xdr:cNvPr id="409" name="Elbow Connector 408"/>
        <xdr:cNvCxnSpPr/>
      </xdr:nvCxnSpPr>
      <xdr:spPr>
        <a:xfrm rot="10800000">
          <a:off x="7429500" y="4610102"/>
          <a:ext cx="297218" cy="2627930"/>
        </a:xfrm>
        <a:prstGeom prst="bentConnector2">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4</xdr:row>
      <xdr:rowOff>19050</xdr:rowOff>
    </xdr:from>
    <xdr:to>
      <xdr:col>9</xdr:col>
      <xdr:colOff>2562225</xdr:colOff>
      <xdr:row>35</xdr:row>
      <xdr:rowOff>133350</xdr:rowOff>
    </xdr:to>
    <xdr:grpSp>
      <xdr:nvGrpSpPr>
        <xdr:cNvPr id="2" name="Group 1"/>
        <xdr:cNvGrpSpPr/>
      </xdr:nvGrpSpPr>
      <xdr:grpSpPr>
        <a:xfrm>
          <a:off x="457199" y="812800"/>
          <a:ext cx="12058651" cy="6527800"/>
          <a:chOff x="106680" y="990600"/>
          <a:chExt cx="9875520" cy="3505200"/>
        </a:xfrm>
      </xdr:grpSpPr>
      <xdr:sp macro="" textlink="">
        <xdr:nvSpPr>
          <xdr:cNvPr id="6" name="Rectangle 5"/>
          <xdr:cNvSpPr/>
        </xdr:nvSpPr>
        <xdr:spPr>
          <a:xfrm>
            <a:off x="4652935" y="990600"/>
            <a:ext cx="1230445" cy="831455"/>
          </a:xfrm>
          <a:prstGeom prst="rect">
            <a:avLst/>
          </a:prstGeom>
          <a:solidFill>
            <a:schemeClr val="accent1"/>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b="1">
                <a:solidFill>
                  <a:sysClr val="windowText" lastClr="000000"/>
                </a:solidFill>
              </a:rPr>
              <a:t>Director </a:t>
            </a:r>
          </a:p>
        </xdr:txBody>
      </xdr:sp>
      <xdr:cxnSp macro="">
        <xdr:nvCxnSpPr>
          <xdr:cNvPr id="7" name="Elbow Connector 6"/>
          <xdr:cNvCxnSpPr>
            <a:stCxn id="6" idx="2"/>
            <a:endCxn id="10" idx="0"/>
          </xdr:cNvCxnSpPr>
        </xdr:nvCxnSpPr>
        <xdr:spPr>
          <a:xfrm rot="5400000">
            <a:off x="3845536" y="644395"/>
            <a:ext cx="244962" cy="2600282"/>
          </a:xfrm>
          <a:prstGeom prst="bentConnector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Elbow Connector 7"/>
          <xdr:cNvCxnSpPr>
            <a:stCxn id="9" idx="0"/>
            <a:endCxn id="6" idx="2"/>
          </xdr:cNvCxnSpPr>
        </xdr:nvCxnSpPr>
        <xdr:spPr>
          <a:xfrm rot="16200000" flipV="1">
            <a:off x="6451584" y="638629"/>
            <a:ext cx="244962" cy="2611813"/>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 name="Rectangle 8"/>
          <xdr:cNvSpPr/>
        </xdr:nvSpPr>
        <xdr:spPr>
          <a:xfrm>
            <a:off x="7338394" y="2067017"/>
            <a:ext cx="1083153" cy="829659"/>
          </a:xfrm>
          <a:prstGeom prst="rect">
            <a:avLst/>
          </a:prstGeom>
          <a:solidFill>
            <a:schemeClr val="accent1">
              <a:lumMod val="60000"/>
              <a:lumOff val="4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b="1">
                <a:solidFill>
                  <a:schemeClr val="dk1"/>
                </a:solidFill>
              </a:rPr>
              <a:t>Deputy Director  </a:t>
            </a:r>
          </a:p>
          <a:p>
            <a:pPr algn="ctr"/>
            <a:r>
              <a:rPr lang="en-US" sz="1500" b="1">
                <a:solidFill>
                  <a:schemeClr val="dk1"/>
                </a:solidFill>
              </a:rPr>
              <a:t>Budget &amp; Personnel </a:t>
            </a:r>
          </a:p>
        </xdr:txBody>
      </xdr:sp>
      <xdr:sp macro="" textlink="">
        <xdr:nvSpPr>
          <xdr:cNvPr id="10" name="Rectangle 9"/>
          <xdr:cNvSpPr/>
        </xdr:nvSpPr>
        <xdr:spPr>
          <a:xfrm>
            <a:off x="2126299" y="2067017"/>
            <a:ext cx="1083153" cy="829659"/>
          </a:xfrm>
          <a:prstGeom prst="rect">
            <a:avLst/>
          </a:prstGeom>
          <a:solidFill>
            <a:schemeClr val="accent1">
              <a:lumMod val="60000"/>
              <a:lumOff val="4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b="1">
                <a:solidFill>
                  <a:schemeClr val="dk1"/>
                </a:solidFill>
              </a:rPr>
              <a:t>Deputy Director</a:t>
            </a:r>
          </a:p>
          <a:p>
            <a:pPr algn="ctr"/>
            <a:r>
              <a:rPr lang="en-US" sz="1500" b="1">
                <a:solidFill>
                  <a:schemeClr val="dk1"/>
                </a:solidFill>
              </a:rPr>
              <a:t>Operations  </a:t>
            </a:r>
          </a:p>
        </xdr:txBody>
      </xdr:sp>
      <xdr:sp macro="" textlink="">
        <xdr:nvSpPr>
          <xdr:cNvPr id="11" name="Rectangle 10"/>
          <xdr:cNvSpPr/>
        </xdr:nvSpPr>
        <xdr:spPr>
          <a:xfrm>
            <a:off x="3016857" y="3499032"/>
            <a:ext cx="1486122"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Polling Place Operations</a:t>
            </a:r>
          </a:p>
          <a:p>
            <a:pPr marL="114300" indent="-57150">
              <a:buFont typeface="Arial" panose="020B0604020202020204" pitchFamily="34" charset="0"/>
              <a:buChar char="•"/>
            </a:pPr>
            <a:r>
              <a:rPr lang="en-US" sz="1500">
                <a:solidFill>
                  <a:schemeClr val="bg1"/>
                </a:solidFill>
              </a:rPr>
              <a:t>L&amp;A </a:t>
            </a:r>
          </a:p>
          <a:p>
            <a:pPr marL="114300" indent="-57150">
              <a:buFont typeface="Arial" panose="020B0604020202020204" pitchFamily="34" charset="0"/>
              <a:buChar char="•"/>
            </a:pPr>
            <a:r>
              <a:rPr lang="en-US" sz="1500">
                <a:solidFill>
                  <a:schemeClr val="bg1"/>
                </a:solidFill>
              </a:rPr>
              <a:t>Voting Equipment</a:t>
            </a:r>
            <a:r>
              <a:rPr lang="en-US" sz="1500" baseline="0">
                <a:solidFill>
                  <a:schemeClr val="bg1"/>
                </a:solidFill>
              </a:rPr>
              <a:t> &amp; </a:t>
            </a:r>
            <a:r>
              <a:rPr lang="en-US" sz="1500">
                <a:solidFill>
                  <a:schemeClr val="bg1"/>
                </a:solidFill>
              </a:rPr>
              <a:t>Supplies</a:t>
            </a:r>
          </a:p>
        </xdr:txBody>
      </xdr:sp>
      <xdr:sp macro="" textlink="">
        <xdr:nvSpPr>
          <xdr:cNvPr id="12" name="Rectangle 11"/>
          <xdr:cNvSpPr/>
        </xdr:nvSpPr>
        <xdr:spPr>
          <a:xfrm>
            <a:off x="1076739" y="3499032"/>
            <a:ext cx="814970"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Ballot </a:t>
            </a:r>
            <a:br>
              <a:rPr lang="en-US" sz="1500">
                <a:solidFill>
                  <a:schemeClr val="bg1"/>
                </a:solidFill>
              </a:rPr>
            </a:br>
            <a:r>
              <a:rPr lang="en-US" sz="1500">
                <a:solidFill>
                  <a:schemeClr val="bg1"/>
                </a:solidFill>
              </a:rPr>
              <a:t>Distribution</a:t>
            </a:r>
          </a:p>
        </xdr:txBody>
      </xdr:sp>
      <xdr:sp macro="" textlink="">
        <xdr:nvSpPr>
          <xdr:cNvPr id="13" name="Rectangle 12"/>
          <xdr:cNvSpPr/>
        </xdr:nvSpPr>
        <xdr:spPr>
          <a:xfrm>
            <a:off x="2046798" y="3499032"/>
            <a:ext cx="814970"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Voter </a:t>
            </a:r>
          </a:p>
          <a:p>
            <a:pPr algn="ctr"/>
            <a:r>
              <a:rPr lang="en-US" sz="1500">
                <a:solidFill>
                  <a:schemeClr val="bg1"/>
                </a:solidFill>
              </a:rPr>
              <a:t>Services</a:t>
            </a:r>
          </a:p>
        </xdr:txBody>
      </xdr:sp>
      <xdr:sp macro="" textlink="">
        <xdr:nvSpPr>
          <xdr:cNvPr id="14" name="Rectangle 13"/>
          <xdr:cNvSpPr/>
        </xdr:nvSpPr>
        <xdr:spPr>
          <a:xfrm>
            <a:off x="8496078" y="3499032"/>
            <a:ext cx="1486122"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Election Day Support </a:t>
            </a:r>
          </a:p>
          <a:p>
            <a:pPr marL="114300" indent="-57150">
              <a:buFont typeface="Arial" panose="020B0604020202020204" pitchFamily="34" charset="0"/>
              <a:buChar char="•"/>
            </a:pPr>
            <a:r>
              <a:rPr lang="en-US" sz="1500">
                <a:solidFill>
                  <a:schemeClr val="bg1"/>
                </a:solidFill>
              </a:rPr>
              <a:t>Precinct Services </a:t>
            </a:r>
          </a:p>
          <a:p>
            <a:pPr marL="114300" indent="-57150">
              <a:buFont typeface="Arial" panose="020B0604020202020204" pitchFamily="34" charset="0"/>
              <a:buChar char="•"/>
            </a:pPr>
            <a:r>
              <a:rPr lang="en-US" sz="1500">
                <a:solidFill>
                  <a:schemeClr val="bg1"/>
                </a:solidFill>
              </a:rPr>
              <a:t>Poll worker &amp; Field Support</a:t>
            </a:r>
          </a:p>
        </xdr:txBody>
      </xdr:sp>
      <xdr:sp macro="" textlink="">
        <xdr:nvSpPr>
          <xdr:cNvPr id="15" name="Rectangle 14"/>
          <xdr:cNvSpPr/>
        </xdr:nvSpPr>
        <xdr:spPr>
          <a:xfrm>
            <a:off x="4658068" y="3499032"/>
            <a:ext cx="814970"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Campaign </a:t>
            </a:r>
            <a:br>
              <a:rPr lang="en-US" sz="1500">
                <a:solidFill>
                  <a:schemeClr val="bg1"/>
                </a:solidFill>
              </a:rPr>
            </a:br>
            <a:r>
              <a:rPr lang="en-US" sz="1500">
                <a:solidFill>
                  <a:schemeClr val="bg1"/>
                </a:solidFill>
              </a:rPr>
              <a:t>Services </a:t>
            </a:r>
          </a:p>
        </xdr:txBody>
      </xdr:sp>
      <xdr:sp macro="" textlink="">
        <xdr:nvSpPr>
          <xdr:cNvPr id="16" name="Rectangle 15"/>
          <xdr:cNvSpPr/>
        </xdr:nvSpPr>
        <xdr:spPr>
          <a:xfrm>
            <a:off x="6854865" y="3499032"/>
            <a:ext cx="1486123"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Voter Information</a:t>
            </a:r>
          </a:p>
          <a:p>
            <a:pPr marL="114300" indent="-57150">
              <a:buFont typeface="Arial" panose="020B0604020202020204" pitchFamily="34" charset="0"/>
              <a:buChar char="•"/>
            </a:pPr>
            <a:r>
              <a:rPr lang="en-US" sz="1500">
                <a:solidFill>
                  <a:schemeClr val="bg1"/>
                </a:solidFill>
              </a:rPr>
              <a:t>Publications </a:t>
            </a:r>
          </a:p>
          <a:p>
            <a:pPr marL="114300" indent="-57150">
              <a:buFont typeface="Arial" panose="020B0604020202020204" pitchFamily="34" charset="0"/>
              <a:buChar char="•"/>
            </a:pPr>
            <a:r>
              <a:rPr lang="en-US" sz="1500">
                <a:solidFill>
                  <a:schemeClr val="bg1"/>
                </a:solidFill>
              </a:rPr>
              <a:t>Outreach </a:t>
            </a:r>
          </a:p>
        </xdr:txBody>
      </xdr:sp>
      <xdr:sp macro="" textlink="">
        <xdr:nvSpPr>
          <xdr:cNvPr id="17" name="Rectangle 16"/>
          <xdr:cNvSpPr/>
        </xdr:nvSpPr>
        <xdr:spPr>
          <a:xfrm>
            <a:off x="106680" y="3499032"/>
            <a:ext cx="814970"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Information </a:t>
            </a:r>
            <a:br>
              <a:rPr lang="en-US" sz="1500">
                <a:solidFill>
                  <a:schemeClr val="bg1"/>
                </a:solidFill>
              </a:rPr>
            </a:br>
            <a:r>
              <a:rPr lang="en-US" sz="1500">
                <a:solidFill>
                  <a:schemeClr val="bg1"/>
                </a:solidFill>
              </a:rPr>
              <a:t>Technology</a:t>
            </a:r>
          </a:p>
        </xdr:txBody>
      </xdr:sp>
      <xdr:sp macro="" textlink="">
        <xdr:nvSpPr>
          <xdr:cNvPr id="18" name="Rectangle 17"/>
          <xdr:cNvSpPr/>
        </xdr:nvSpPr>
        <xdr:spPr>
          <a:xfrm>
            <a:off x="5757630" y="3499032"/>
            <a:ext cx="982703" cy="996768"/>
          </a:xfrm>
          <a:prstGeom prst="rect">
            <a:avLst/>
          </a:prstGeom>
          <a:solidFill>
            <a:schemeClr val="bg1">
              <a:lumMod val="50000"/>
            </a:schemeClr>
          </a:solidFill>
          <a:ln>
            <a:noFill/>
          </a:ln>
          <a:effectLst>
            <a:outerShdw blurRad="44450" dist="27940" dir="5400000" algn="ctr">
              <a:srgbClr val="000000">
                <a:alpha val="32000"/>
              </a:srgbClr>
            </a:outerShdw>
          </a:effectLst>
          <a:sp3d>
            <a:bevelT w="190500" h="38100"/>
          </a:sp3d>
        </xdr:spPr>
        <xdr:style>
          <a:lnRef idx="1">
            <a:schemeClr val="accent1"/>
          </a:lnRef>
          <a:fillRef idx="3">
            <a:schemeClr val="accent1"/>
          </a:fillRef>
          <a:effectRef idx="2">
            <a:schemeClr val="accent1"/>
          </a:effectRef>
          <a:fontRef idx="minor">
            <a:schemeClr val="lt1"/>
          </a:fontRef>
        </xdr:style>
        <xdr:txBody>
          <a:bodyPr wrap="square" lIns="0" tIns="0" rIns="0" bIns="0" anchor="ctr">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r>
              <a:rPr lang="en-US" sz="1500">
                <a:solidFill>
                  <a:schemeClr val="bg1"/>
                </a:solidFill>
              </a:rPr>
              <a:t>Administration</a:t>
            </a:r>
          </a:p>
        </xdr:txBody>
      </xdr:sp>
      <xdr:cxnSp macro="">
        <xdr:nvCxnSpPr>
          <xdr:cNvPr id="19" name="Elbow Connector 18"/>
          <xdr:cNvCxnSpPr>
            <a:stCxn id="14" idx="0"/>
            <a:endCxn id="9" idx="2"/>
          </xdr:cNvCxnSpPr>
        </xdr:nvCxnSpPr>
        <xdr:spPr>
          <a:xfrm rot="16200000" flipV="1">
            <a:off x="8258377" y="2518270"/>
            <a:ext cx="602356" cy="135916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Elbow Connector 19"/>
          <xdr:cNvCxnSpPr>
            <a:stCxn id="16" idx="0"/>
            <a:endCxn id="9" idx="2"/>
          </xdr:cNvCxnSpPr>
        </xdr:nvCxnSpPr>
        <xdr:spPr>
          <a:xfrm rot="5400000" flipH="1" flipV="1">
            <a:off x="7437771" y="3056832"/>
            <a:ext cx="602356" cy="282044"/>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Elbow Connector 20"/>
          <xdr:cNvCxnSpPr>
            <a:stCxn id="11" idx="0"/>
            <a:endCxn id="10" idx="2"/>
          </xdr:cNvCxnSpPr>
        </xdr:nvCxnSpPr>
        <xdr:spPr>
          <a:xfrm rot="16200000" flipV="1">
            <a:off x="2912719" y="2651833"/>
            <a:ext cx="602356" cy="1092042"/>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Elbow Connector 21"/>
          <xdr:cNvCxnSpPr>
            <a:stCxn id="18" idx="0"/>
            <a:endCxn id="9" idx="2"/>
          </xdr:cNvCxnSpPr>
        </xdr:nvCxnSpPr>
        <xdr:spPr>
          <a:xfrm rot="5400000" flipH="1" flipV="1">
            <a:off x="6763298" y="2382360"/>
            <a:ext cx="602355" cy="1630989"/>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a:stCxn id="15" idx="0"/>
            <a:endCxn id="10" idx="2"/>
          </xdr:cNvCxnSpPr>
        </xdr:nvCxnSpPr>
        <xdr:spPr>
          <a:xfrm rot="16200000" flipV="1">
            <a:off x="3565537" y="1999015"/>
            <a:ext cx="602356" cy="2397677"/>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Elbow Connector 23"/>
          <xdr:cNvCxnSpPr>
            <a:stCxn id="13" idx="0"/>
            <a:endCxn id="10" idx="2"/>
          </xdr:cNvCxnSpPr>
        </xdr:nvCxnSpPr>
        <xdr:spPr>
          <a:xfrm rot="5400000" flipH="1" flipV="1">
            <a:off x="2259901" y="3091058"/>
            <a:ext cx="602356" cy="213593"/>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Elbow Connector 24"/>
          <xdr:cNvCxnSpPr>
            <a:stCxn id="12" idx="0"/>
            <a:endCxn id="10" idx="2"/>
          </xdr:cNvCxnSpPr>
        </xdr:nvCxnSpPr>
        <xdr:spPr>
          <a:xfrm rot="5400000" flipH="1" flipV="1">
            <a:off x="1774872" y="2606028"/>
            <a:ext cx="602356" cy="1183652"/>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a:stCxn id="17" idx="0"/>
            <a:endCxn id="10" idx="2"/>
          </xdr:cNvCxnSpPr>
        </xdr:nvCxnSpPr>
        <xdr:spPr>
          <a:xfrm rot="5400000" flipH="1" flipV="1">
            <a:off x="1289842" y="2120999"/>
            <a:ext cx="602356" cy="2153711"/>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0</xdr:colOff>
      <xdr:row>16</xdr:row>
      <xdr:rowOff>0</xdr:rowOff>
    </xdr:from>
    <xdr:to>
      <xdr:col>39</xdr:col>
      <xdr:colOff>95250</xdr:colOff>
      <xdr:row>23</xdr:row>
      <xdr:rowOff>95250</xdr:rowOff>
    </xdr:to>
    <xdr:sp macro="" textlink="">
      <xdr:nvSpPr>
        <xdr:cNvPr id="2" name="TextBox 1"/>
        <xdr:cNvSpPr txBox="1"/>
      </xdr:nvSpPr>
      <xdr:spPr>
        <a:xfrm>
          <a:off x="6324600" y="3562350"/>
          <a:ext cx="498157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0" b="1"/>
            <a:t>Not Applicable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1333500</xdr:colOff>
      <xdr:row>9</xdr:row>
      <xdr:rowOff>57150</xdr:rowOff>
    </xdr:from>
    <xdr:to>
      <xdr:col>8</xdr:col>
      <xdr:colOff>523875</xdr:colOff>
      <xdr:row>12</xdr:row>
      <xdr:rowOff>142875</xdr:rowOff>
    </xdr:to>
    <xdr:sp macro="" textlink="">
      <xdr:nvSpPr>
        <xdr:cNvPr id="2" name="TextBox 1"/>
        <xdr:cNvSpPr txBox="1"/>
      </xdr:nvSpPr>
      <xdr:spPr>
        <a:xfrm>
          <a:off x="2943225" y="2895600"/>
          <a:ext cx="498157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0" b="1"/>
            <a:t>Not Applicable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552450</xdr:colOff>
      <xdr:row>7</xdr:row>
      <xdr:rowOff>19050</xdr:rowOff>
    </xdr:from>
    <xdr:to>
      <xdr:col>7</xdr:col>
      <xdr:colOff>704850</xdr:colOff>
      <xdr:row>13</xdr:row>
      <xdr:rowOff>19050</xdr:rowOff>
    </xdr:to>
    <xdr:sp macro="" textlink="">
      <xdr:nvSpPr>
        <xdr:cNvPr id="5" name="TextBox 4"/>
        <xdr:cNvSpPr txBox="1"/>
      </xdr:nvSpPr>
      <xdr:spPr>
        <a:xfrm>
          <a:off x="3495675" y="1381125"/>
          <a:ext cx="50006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solidFill>
                <a:schemeClr val="dk1"/>
              </a:solidFill>
              <a:effectLst/>
              <a:latin typeface="+mn-lt"/>
              <a:ea typeface="+mn-ea"/>
              <a:cs typeface="+mn-cs"/>
            </a:rPr>
            <a:t>The Department has no approved equipment in FY2014-15</a:t>
          </a:r>
          <a:endParaRPr lang="en-US" sz="25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7</xdr:row>
      <xdr:rowOff>0</xdr:rowOff>
    </xdr:from>
    <xdr:to>
      <xdr:col>13</xdr:col>
      <xdr:colOff>314325</xdr:colOff>
      <xdr:row>12</xdr:row>
      <xdr:rowOff>85725</xdr:rowOff>
    </xdr:to>
    <xdr:sp macro="" textlink="">
      <xdr:nvSpPr>
        <xdr:cNvPr id="3" name="TextBox 2"/>
        <xdr:cNvSpPr txBox="1"/>
      </xdr:nvSpPr>
      <xdr:spPr>
        <a:xfrm>
          <a:off x="990600" y="1600200"/>
          <a:ext cx="70199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0" b="1"/>
            <a:t>Submitted</a:t>
          </a:r>
          <a:r>
            <a:rPr lang="en-US" sz="6000" b="1" baseline="0"/>
            <a:t> 1/15/2014</a:t>
          </a:r>
          <a:endParaRPr lang="en-US" sz="60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504826</xdr:colOff>
      <xdr:row>6</xdr:row>
      <xdr:rowOff>257174</xdr:rowOff>
    </xdr:from>
    <xdr:to>
      <xdr:col>13</xdr:col>
      <xdr:colOff>89808</xdr:colOff>
      <xdr:row>13</xdr:row>
      <xdr:rowOff>95250</xdr:rowOff>
    </xdr:to>
    <xdr:sp macro="" textlink="">
      <xdr:nvSpPr>
        <xdr:cNvPr id="2" name="TextBox 1"/>
        <xdr:cNvSpPr txBox="1"/>
      </xdr:nvSpPr>
      <xdr:spPr>
        <a:xfrm>
          <a:off x="1428751" y="1800224"/>
          <a:ext cx="6290582" cy="163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000" b="1"/>
            <a:t>The Department</a:t>
          </a:r>
          <a:r>
            <a:rPr lang="en-US" sz="4000" b="1" baseline="0"/>
            <a:t> has no capital budget requests</a:t>
          </a:r>
          <a:endParaRPr lang="en-US" sz="40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dget\2012-2013\Budget%20Instructions\FY12-13%20Budget%20Forms_Draft_2011.12.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macaulay\AppData\Local\Microsoft\Windows\Temporary%20Internet%20Files\Content.Outlook\TMP4K1MF\Form%202C_1119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sfcontroller.org/modules/showdocument.aspx?documentid=143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BUDGET\2012\Budget%20Instructions\Prop%20J\Prop%20J%20Fi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macaulay\AppData\Local\Microsoft\Windows\Temporary%20Internet%20Files\Content.Outlook\TMP4K1MF\FY13-14andFY14-15_Budget%20Forms_FIN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BUDGET\2012\Budget%20Instructions\Prop%20J\Prop%20J%20S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JBullen\LOCALS~1\Temp\notes003EDB\~724763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macaulay\AppData\Local\Microsoft\Windows\Temporary%20Internet%20Files\Content.Outlook\TMP4K1MF\Budget%20Instruction%20Forms_FINAL%20FY12-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2-2013\Budget%20Instructions\Budget%20Instruction%20Form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DGET\2011\Two%20year%20budget\Two-Year%20Budget%20Forms-ACTIV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UDGET/2011/Two%20year%20budget/Two-Year%20Budget%20Forms-ACTIV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udget%20Instructions/FY12-13%20Budget%20Forms_MBOedits_2011.11.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sfgov.org/DOCUME~1/CCZERW~1.CON/LOCALS~1/Temp/notes9B2956/~46915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CCZERW~1.CON\LOCALS~1\Temp\notes9B2956\Form%2010%20-%20Capi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Table"/>
      <sheetName val="Form 1B-Graphs"/>
      <sheetName val="Form 2A-Revenue Report"/>
      <sheetName val="Form 2B-Fees &amp; Fines"/>
      <sheetName val="Form 2C-Fee Cost Recovery "/>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9-Capital Request (Online)"/>
      <sheetName val="Form 10-One Time Efficiency"/>
      <sheetName val="Form 11A - Contracts Non-IC"/>
      <sheetName val="Form 11B - Contracts ICT"/>
      <sheetName val="FMCS"/>
      <sheetName val="Contact Sheet"/>
      <sheetName val="Prop J - Main Template"/>
      <sheetName val="Prop J Contract Cost Detail"/>
      <sheetName val="Prop J Summary"/>
      <sheetName val="Prop J - Sample"/>
    </sheetNames>
    <sheetDataSet>
      <sheetData sheetId="0"/>
      <sheetData sheetId="1"/>
      <sheetData sheetId="2"/>
      <sheetData sheetId="3">
        <row r="4">
          <cell r="Q4" t="str">
            <v>Yes</v>
          </cell>
        </row>
        <row r="5">
          <cell r="Q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C - Cost Recovery"/>
      <sheetName val="Worksheet_14-15"/>
      <sheetName val="Worksheet_15-16"/>
    </sheetNames>
    <sheetDataSet>
      <sheetData sheetId="0">
        <row r="25">
          <cell r="D25">
            <v>5000</v>
          </cell>
        </row>
        <row r="144">
          <cell r="F144">
            <v>0</v>
          </cell>
        </row>
        <row r="153">
          <cell r="B153">
            <v>0</v>
          </cell>
        </row>
        <row r="161">
          <cell r="B161">
            <v>0</v>
          </cell>
        </row>
        <row r="169">
          <cell r="B169">
            <v>0</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Major Changes Table"/>
      <sheetName val="1B Graphs"/>
      <sheetName val="2A Revenue Report"/>
      <sheetName val="2B Fees &amp; Fines"/>
      <sheetName val="2C Cost Recovery"/>
      <sheetName val="2D Fee Eliminations"/>
      <sheetName val="3A Expenditure Report"/>
      <sheetName val="3B Children's Services"/>
      <sheetName val="3C Public Education Fund"/>
      <sheetName val="4 Equipment"/>
      <sheetName val="4C Base Equipment"/>
      <sheetName val="5 IT (Online)"/>
      <sheetName val="6 Capital Request (Online)"/>
      <sheetName val="7 Position Changes"/>
      <sheetName val="Form 8-Legislative Changes"/>
      <sheetName val="9A Contracts Non-ICT"/>
      <sheetName val="9B Contracts ICT"/>
      <sheetName val="10 - Contingency"/>
      <sheetName val="FMCS100"/>
      <sheetName val="Prop J Summary"/>
      <sheetName val="Prop J Main Template"/>
      <sheetName val="Prop J Cost Detail"/>
      <sheetName val="Prop J Sample"/>
      <sheetName val="Contact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4">
          <cell r="F24">
            <v>0</v>
          </cell>
        </row>
        <row r="25">
          <cell r="F25">
            <v>0</v>
          </cell>
        </row>
        <row r="26">
          <cell r="F26">
            <v>0</v>
          </cell>
        </row>
        <row r="27">
          <cell r="F27">
            <v>0</v>
          </cell>
        </row>
        <row r="40">
          <cell r="F40">
            <v>0</v>
          </cell>
        </row>
      </sheetData>
      <sheetData sheetId="21">
        <row r="5">
          <cell r="F5"/>
          <cell r="G5"/>
        </row>
      </sheetData>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J - Main"/>
      <sheetName val="Prop J Contract Cost Detail"/>
      <sheetName val="Prop J Summary"/>
      <sheetName val="Contract Cost Detail"/>
      <sheetName val="Summary"/>
    </sheetNames>
    <sheetDataSet>
      <sheetData sheetId="0">
        <row r="3">
          <cell r="A3" t="str">
            <v>[DEPARTMENT], [DIVISION]</v>
          </cell>
        </row>
        <row r="36">
          <cell r="G36">
            <v>0</v>
          </cell>
        </row>
        <row r="37">
          <cell r="G37">
            <v>0</v>
          </cell>
        </row>
        <row r="38">
          <cell r="G38">
            <v>0</v>
          </cell>
        </row>
        <row r="39">
          <cell r="G39">
            <v>0</v>
          </cell>
        </row>
        <row r="52">
          <cell r="G52">
            <v>0</v>
          </cell>
        </row>
      </sheetData>
      <sheetData sheetId="1" refreshError="1"/>
      <sheetData sheetId="2"/>
      <sheetData sheetId="3">
        <row r="10">
          <cell r="P10">
            <v>0</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Table"/>
      <sheetName val="Form 1B-Graphs"/>
      <sheetName val="Form 2A-Revenue Report"/>
      <sheetName val="Form 2B-Fees &amp; Fines"/>
      <sheetName val="Form 3A-Expenditure Report"/>
      <sheetName val="Form 3B-Children's Services"/>
      <sheetName val="Form 3C-Public Education Fund"/>
      <sheetName val="Form 4-Equipment"/>
      <sheetName val="Form 5-IT (Online)"/>
      <sheetName val="Form 7-Position Changes"/>
      <sheetName val="Form 8-Legislative Changes"/>
      <sheetName val="Form 9-Capital Request (Online)"/>
      <sheetName val="Form 10A-Contracts Non-ICT"/>
      <sheetName val="Form 10B-Contracts ICT"/>
      <sheetName val="FMCA"/>
      <sheetName val="Contact Sheet"/>
      <sheetName val="Prop J - Main Template"/>
      <sheetName val="Prop J Contract Cost Detail"/>
      <sheetName val="Prop J - 14-15 Main Template"/>
      <sheetName val="PropJ 1415 Contract Cost Detail"/>
      <sheetName val="Prop J Summary"/>
      <sheetName val="Prop J - Samp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0">
          <cell r="P10">
            <v>0</v>
          </cell>
          <cell r="Q10">
            <v>0</v>
          </cell>
        </row>
        <row r="14">
          <cell r="P14">
            <v>0</v>
          </cell>
          <cell r="Q14">
            <v>0</v>
          </cell>
        </row>
      </sheetData>
      <sheetData sheetId="20"/>
      <sheetData sheetId="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J - Main"/>
      <sheetName val="Contract Cost Detail"/>
      <sheetName val="Summary"/>
    </sheetNames>
    <sheetDataSet>
      <sheetData sheetId="0" refreshError="1"/>
      <sheetData sheetId="1" refreshError="1">
        <row r="5">
          <cell r="F5">
            <v>20670041</v>
          </cell>
          <cell r="G5">
            <v>20670041</v>
          </cell>
        </row>
        <row r="10">
          <cell r="P10">
            <v>15054.02513089007</v>
          </cell>
          <cell r="Q10">
            <v>18299.235392670136</v>
          </cell>
        </row>
        <row r="11">
          <cell r="P11">
            <v>11965.085026178031</v>
          </cell>
          <cell r="Q11">
            <v>14548.751623036665</v>
          </cell>
        </row>
        <row r="15">
          <cell r="P15">
            <v>6400.5056852356083</v>
          </cell>
          <cell r="Q15">
            <v>7212.1327717068025</v>
          </cell>
        </row>
        <row r="16">
          <cell r="P16">
            <v>5627.9617650471264</v>
          </cell>
          <cell r="Q16">
            <v>6274.1367809214717</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
      <sheetName val="Form 1B-Graphs"/>
      <sheetName val="Form 2A-Revenue Report"/>
      <sheetName val="Form 2B-Fees &amp; Fines"/>
      <sheetName val="Form 2C-Fee Cost Recovery"/>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9-Capital Request (Online)"/>
      <sheetName val="Form 10-One Time Efficiency"/>
      <sheetName val="Form 11A - Contracts Non-ICT"/>
      <sheetName val="Form 11B - Contracts ICT"/>
      <sheetName val="FMCS"/>
      <sheetName val="Contact Sheet"/>
      <sheetName val="Prop J - Main Template"/>
      <sheetName val="Prop J Contract Cost Detail"/>
      <sheetName val="Prop J Summary"/>
      <sheetName val="Prop J - Sample"/>
    </sheetNames>
    <sheetDataSet>
      <sheetData sheetId="0" refreshError="1"/>
      <sheetData sheetId="1" refreshError="1"/>
      <sheetData sheetId="2" refreshError="1"/>
      <sheetData sheetId="3">
        <row r="3">
          <cell r="Q3" t="str">
            <v>Yes</v>
          </cell>
        </row>
        <row r="4">
          <cell r="Q4"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Table"/>
      <sheetName val="Form 1B-Graphs"/>
      <sheetName val="Form 2A-Revenue Report"/>
      <sheetName val="Form 2B-Fees &amp; Fines"/>
      <sheetName val="Form 2C-Fee Cost Recovery "/>
      <sheetName val="Form 2C-Sample"/>
      <sheetName val="Form 3A-Expenditure Report"/>
      <sheetName val="Form 3B-Children's Services"/>
      <sheetName val="Form 3C-Public Education Fund"/>
      <sheetName val="Form 4-Equipment"/>
      <sheetName val="Form 5-IT (Online)"/>
      <sheetName val="Form 6-Contingency Plan"/>
      <sheetName val="Form 7-Position Changes"/>
      <sheetName val="Form 8-Legislative Changes"/>
      <sheetName val="Form 9-Capital Request (Online)"/>
      <sheetName val="Form 10-One Time Efficiency"/>
      <sheetName val="Form 11A - Contracts Non-IC"/>
      <sheetName val="Form 11B - Contracts ICT"/>
      <sheetName val="FMCS"/>
      <sheetName val="Contact Sheet"/>
      <sheetName val="Prop J - Main Template"/>
      <sheetName val="Prop J Contract Cost Detail"/>
      <sheetName val="Prop J Summary"/>
      <sheetName val="Prop J - Sample"/>
    </sheetNames>
    <sheetDataSet>
      <sheetData sheetId="0"/>
      <sheetData sheetId="1"/>
      <sheetData sheetId="2"/>
      <sheetData sheetId="3">
        <row r="4">
          <cell r="Q4" t="str">
            <v>Yes</v>
          </cell>
        </row>
        <row r="5">
          <cell r="Q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Table"/>
      <sheetName val="Form 1B-Graphs"/>
      <sheetName val="Form 2A-Revenue Report"/>
      <sheetName val="Form 2B-Fees &amp; Fines"/>
      <sheetName val="Form 2C-Fee Cost Recovery "/>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9-Capital Request (Online)"/>
      <sheetName val="Form 10-One Time Efficiency"/>
      <sheetName val="Form 11A - Contracts Non-IC"/>
      <sheetName val="Form 11B - Contracts ICT"/>
      <sheetName val="FMCS"/>
      <sheetName val="Contact Sheet"/>
      <sheetName val="Prop J - Main Template"/>
      <sheetName val="Prop J Contract Cost Detail"/>
      <sheetName val="Prop J Summary"/>
      <sheetName val="Prop J - Sample"/>
    </sheetNames>
    <sheetDataSet>
      <sheetData sheetId="0"/>
      <sheetData sheetId="1"/>
      <sheetData sheetId="2"/>
      <sheetData sheetId="3">
        <row r="4">
          <cell r="Q4" t="str">
            <v>Yes</v>
          </cell>
        </row>
        <row r="5">
          <cell r="Q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 Major Changes"/>
      <sheetName val="Form 2A-Revenue Report"/>
      <sheetName val="Form 2B-Fees &amp; Fines"/>
      <sheetName val="Form 2C-Fee Cost Recovery"/>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10-One Time Efficiency"/>
      <sheetName val="Form 11-Contracts"/>
      <sheetName val="FMCS"/>
      <sheetName val="Contact Sheet"/>
      <sheetName val="Prop J Template"/>
      <sheetName val="Prop J Sample"/>
    </sheetNames>
    <sheetDataSet>
      <sheetData sheetId="0"/>
      <sheetData sheetId="1"/>
      <sheetData sheetId="2">
        <row r="3">
          <cell r="Q3" t="str">
            <v>Yes</v>
          </cell>
        </row>
        <row r="4">
          <cell r="Q4"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 Major Changes"/>
      <sheetName val="Form 2A-Revenue Report"/>
      <sheetName val="Form 2B-Fees &amp; Fines"/>
      <sheetName val="Form 2C-Fee Cost Recovery"/>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10-One Time Efficiency"/>
      <sheetName val="Form 11-Contracts"/>
      <sheetName val="FMCS"/>
      <sheetName val="Contact Sheet"/>
      <sheetName val="Prop J Template"/>
      <sheetName val="Prop J Sample"/>
    </sheetNames>
    <sheetDataSet>
      <sheetData sheetId="0"/>
      <sheetData sheetId="1"/>
      <sheetData sheetId="2">
        <row r="3">
          <cell r="Q3" t="str">
            <v>Yes</v>
          </cell>
        </row>
        <row r="4">
          <cell r="Q4"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A - MajorChanges"/>
      <sheetName val="Form 1B-Graphs"/>
      <sheetName val="Form 2A-Revenue Report"/>
      <sheetName val="Form 2B-Fees &amp; Fines"/>
      <sheetName val="Form 2C-Fee Cost Recovery"/>
      <sheetName val="Form 2C-Sample"/>
      <sheetName val="Form 3A-Expenditure Report"/>
      <sheetName val="Form 3B-Children's Services"/>
      <sheetName val="Form 3C-Public Education Fund"/>
      <sheetName val="Form 4-Equipment"/>
      <sheetName val="Form 5-IT (Online)"/>
      <sheetName val="Form 6-Contingency Plan"/>
      <sheetName val="Form 7-Position Reductions"/>
      <sheetName val="Form 8-Legislative Changes"/>
      <sheetName val="Form 9-Capital Request (Online)"/>
      <sheetName val="Form 10-One Time Efficiency"/>
      <sheetName val="Form 11A - Contracts Non-ICT"/>
      <sheetName val="Form 11B - Contracts ICT"/>
      <sheetName val="FMCS"/>
      <sheetName val="Contact Sheet"/>
      <sheetName val="Prop J - Main Template"/>
      <sheetName val="Prop J Contract Cost Detail"/>
      <sheetName val="Prop J Summary"/>
      <sheetName val="Prop J - Sample"/>
    </sheetNames>
    <sheetDataSet>
      <sheetData sheetId="0" refreshError="1"/>
      <sheetData sheetId="1" refreshError="1"/>
      <sheetData sheetId="2" refreshError="1"/>
      <sheetData sheetId="3">
        <row r="3">
          <cell r="Q3" t="str">
            <v>Yes</v>
          </cell>
        </row>
        <row r="4">
          <cell r="Q4"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Request Form"/>
      <sheetName val="Drop-Down Menu Lists"/>
    </sheetNames>
    <sheetDataSet>
      <sheetData sheetId="0"/>
      <sheetData sheetId="1">
        <row r="2">
          <cell r="A2" t="str">
            <v>**Subsystem Choices**</v>
          </cell>
        </row>
        <row r="3">
          <cell r="A3" t="str">
            <v>Roof - Tile</v>
          </cell>
        </row>
        <row r="4">
          <cell r="A4" t="str">
            <v>Roof - Metal, Concrete</v>
          </cell>
        </row>
        <row r="5">
          <cell r="A5" t="str">
            <v>Roof - Built-up, Mmbrn, Cdr, Shingle</v>
          </cell>
        </row>
        <row r="6">
          <cell r="A6" t="str">
            <v>Roof - 15-yr roof</v>
          </cell>
        </row>
        <row r="7">
          <cell r="A7" t="str">
            <v>Rooftop Plaza</v>
          </cell>
        </row>
        <row r="8">
          <cell r="A8" t="str">
            <v>Bldg Exterior (Hard)</v>
          </cell>
        </row>
        <row r="9">
          <cell r="A9" t="str">
            <v>Bldg Exterior (Soft)</v>
          </cell>
        </row>
        <row r="10">
          <cell r="A10" t="str">
            <v>Bldg Exterior (CW)</v>
          </cell>
        </row>
        <row r="11">
          <cell r="A11" t="str">
            <v>Elevators &amp; Conveying Systems</v>
          </cell>
        </row>
        <row r="12">
          <cell r="A12" t="str">
            <v>HVAC - Equipment</v>
          </cell>
        </row>
        <row r="13">
          <cell r="A13" t="str">
            <v>HVAC - Controls</v>
          </cell>
        </row>
        <row r="14">
          <cell r="A14" t="str">
            <v>HVAC - Distribution Systems</v>
          </cell>
        </row>
        <row r="15">
          <cell r="A15" t="str">
            <v>Electrical Equipment</v>
          </cell>
        </row>
        <row r="16">
          <cell r="A16" t="str">
            <v>Electrical Rough-in</v>
          </cell>
        </row>
        <row r="17">
          <cell r="A17" t="str">
            <v>Plumbing Fixtures</v>
          </cell>
        </row>
        <row r="18">
          <cell r="A18" t="str">
            <v>Plumbing Rough-in</v>
          </cell>
        </row>
        <row r="19">
          <cell r="A19" t="str">
            <v>Fire Protection Systems</v>
          </cell>
        </row>
        <row r="20">
          <cell r="A20" t="str">
            <v>Fire Detection Systems</v>
          </cell>
        </row>
        <row r="21">
          <cell r="A21" t="str">
            <v>CCMS (Security, Surveillance Systems)</v>
          </cell>
        </row>
        <row r="22">
          <cell r="A22" t="str">
            <v>Built-in Equipment and Specialties</v>
          </cell>
        </row>
        <row r="23">
          <cell r="A23" t="str">
            <v>Hospital Equipment</v>
          </cell>
        </row>
        <row r="24">
          <cell r="A24" t="str">
            <v>Interior Finishes</v>
          </cell>
        </row>
        <row r="25">
          <cell r="A25" t="str">
            <v>Public Restrooms</v>
          </cell>
        </row>
        <row r="26">
          <cell r="A26" t="str">
            <v>**Infrastructure Categories** (below)</v>
          </cell>
        </row>
        <row r="27">
          <cell r="A27" t="str">
            <v>Roads</v>
          </cell>
        </row>
        <row r="28">
          <cell r="A28" t="str">
            <v>Landscape and Hardscape</v>
          </cell>
        </row>
        <row r="29">
          <cell r="A29" t="str">
            <v>Utilities Distribution</v>
          </cell>
        </row>
        <row r="30">
          <cell r="A30" t="str">
            <v>Utilities Generation</v>
          </cell>
        </row>
        <row r="31">
          <cell r="A31" t="str">
            <v>Security Systems</v>
          </cell>
        </row>
        <row r="32">
          <cell r="A32" t="str">
            <v>Miscellaneous</v>
          </cell>
        </row>
        <row r="37">
          <cell r="A37" t="str">
            <v>Enhancement</v>
          </cell>
        </row>
        <row r="38">
          <cell r="A38" t="str">
            <v>Facility Renewal</v>
          </cell>
        </row>
        <row r="39">
          <cell r="A39" t="str">
            <v>Facility Maintenance</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Request Form"/>
      <sheetName val="Drop-Down Menu Lists"/>
    </sheetNames>
    <sheetDataSet>
      <sheetData sheetId="0"/>
      <sheetData sheetId="1">
        <row r="2">
          <cell r="A2" t="str">
            <v>**Subsystem Choices**</v>
          </cell>
        </row>
        <row r="3">
          <cell r="A3" t="str">
            <v>Roof - Tile</v>
          </cell>
        </row>
        <row r="4">
          <cell r="A4" t="str">
            <v>Roof - Metal, Concrete</v>
          </cell>
        </row>
        <row r="5">
          <cell r="A5" t="str">
            <v>Roof - Built-up, Mmbrn, Cdr, Shingle</v>
          </cell>
        </row>
        <row r="6">
          <cell r="A6" t="str">
            <v>Roof - 15-yr roof</v>
          </cell>
        </row>
        <row r="7">
          <cell r="A7" t="str">
            <v>Rooftop Plaza</v>
          </cell>
        </row>
        <row r="8">
          <cell r="A8" t="str">
            <v>Bldg Exterior (Hard)</v>
          </cell>
        </row>
        <row r="9">
          <cell r="A9" t="str">
            <v>Bldg Exterior (Soft)</v>
          </cell>
        </row>
        <row r="10">
          <cell r="A10" t="str">
            <v>Bldg Exterior (CW)</v>
          </cell>
        </row>
        <row r="11">
          <cell r="A11" t="str">
            <v>Elevators &amp; Conveying Systems</v>
          </cell>
        </row>
        <row r="12">
          <cell r="A12" t="str">
            <v>HVAC - Equipment</v>
          </cell>
        </row>
        <row r="13">
          <cell r="A13" t="str">
            <v>HVAC - Controls</v>
          </cell>
        </row>
        <row r="14">
          <cell r="A14" t="str">
            <v>HVAC - Distribution Systems</v>
          </cell>
        </row>
        <row r="15">
          <cell r="A15" t="str">
            <v>Electrical Equipment</v>
          </cell>
        </row>
        <row r="16">
          <cell r="A16" t="str">
            <v>Electrical Rough-in</v>
          </cell>
        </row>
        <row r="17">
          <cell r="A17" t="str">
            <v>Plumbing Fixtures</v>
          </cell>
        </row>
        <row r="18">
          <cell r="A18" t="str">
            <v>Plumbing Rough-in</v>
          </cell>
        </row>
        <row r="19">
          <cell r="A19" t="str">
            <v>Fire Protection Systems</v>
          </cell>
        </row>
        <row r="20">
          <cell r="A20" t="str">
            <v>Fire Detection Systems</v>
          </cell>
        </row>
        <row r="21">
          <cell r="A21" t="str">
            <v>CCMS (Security, Surveillance Systems)</v>
          </cell>
        </row>
        <row r="22">
          <cell r="A22" t="str">
            <v>Built-in Equipment and Specialties</v>
          </cell>
        </row>
        <row r="23">
          <cell r="A23" t="str">
            <v>Hospital Equipment</v>
          </cell>
        </row>
        <row r="24">
          <cell r="A24" t="str">
            <v>Interior Finishes</v>
          </cell>
        </row>
        <row r="25">
          <cell r="A25" t="str">
            <v>Public Restrooms</v>
          </cell>
        </row>
        <row r="26">
          <cell r="A26" t="str">
            <v>**Infrastructure Categories** (below)</v>
          </cell>
        </row>
        <row r="27">
          <cell r="A27" t="str">
            <v>Roads</v>
          </cell>
        </row>
        <row r="28">
          <cell r="A28" t="str">
            <v>Landscape and Hardscape</v>
          </cell>
        </row>
        <row r="29">
          <cell r="A29" t="str">
            <v>Utilities Distribution</v>
          </cell>
        </row>
        <row r="30">
          <cell r="A30" t="str">
            <v>Utilities Generation</v>
          </cell>
        </row>
        <row r="31">
          <cell r="A31" t="str">
            <v>Security Systems</v>
          </cell>
        </row>
        <row r="32">
          <cell r="A32" t="str">
            <v>Miscellaneous</v>
          </cell>
        </row>
        <row r="37">
          <cell r="A37" t="str">
            <v>Enhancement</v>
          </cell>
        </row>
        <row r="38">
          <cell r="A38" t="str">
            <v>Facility Renewal</v>
          </cell>
        </row>
        <row r="39">
          <cell r="A39" t="str">
            <v>Facility Maintenance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23.bin"/><Relationship Id="rId4"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4.bin"/><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2:N38"/>
  <sheetViews>
    <sheetView tabSelected="1" view="pageBreakPreview" zoomScale="60" zoomScaleNormal="100" workbookViewId="0">
      <selection activeCell="L27" sqref="L27"/>
    </sheetView>
  </sheetViews>
  <sheetFormatPr defaultColWidth="9.140625" defaultRowHeight="14.25" x14ac:dyDescent="0.2"/>
  <cols>
    <col min="1" max="1" width="6" style="3" customWidth="1"/>
    <col min="2" max="2" width="12" style="3" customWidth="1"/>
    <col min="3" max="3" width="11.5703125" style="3" customWidth="1"/>
    <col min="4" max="4" width="15.5703125" style="3" customWidth="1"/>
    <col min="5" max="5" width="12.140625" style="3" customWidth="1"/>
    <col min="6" max="6" width="16.7109375" style="3" customWidth="1"/>
    <col min="7" max="7" width="11.85546875" style="4" customWidth="1"/>
    <col min="8" max="8" width="17.140625" style="3" customWidth="1"/>
    <col min="9" max="9" width="13" style="3" customWidth="1"/>
    <col min="10" max="10" width="17.42578125" style="5" customWidth="1"/>
    <col min="11" max="11" width="10.28515625" style="3" customWidth="1"/>
    <col min="12" max="12" width="17.140625" style="3" customWidth="1"/>
    <col min="13" max="13" width="13" style="3" customWidth="1"/>
    <col min="14" max="14" width="65.85546875" style="3" customWidth="1"/>
    <col min="15" max="16384" width="9.140625" style="3"/>
  </cols>
  <sheetData>
    <row r="2" spans="2:14" ht="18" x14ac:dyDescent="0.2">
      <c r="B2" s="1" t="s">
        <v>0</v>
      </c>
      <c r="C2" s="2"/>
    </row>
    <row r="3" spans="2:14" ht="18" x14ac:dyDescent="0.2">
      <c r="B3" s="6" t="s">
        <v>94</v>
      </c>
      <c r="C3" s="7"/>
    </row>
    <row r="5" spans="2:14" x14ac:dyDescent="0.2">
      <c r="B5" s="3" t="s">
        <v>2</v>
      </c>
    </row>
    <row r="6" spans="2:14" ht="15" thickBot="1" x14ac:dyDescent="0.25"/>
    <row r="7" spans="2:14" s="11" customFormat="1" ht="16.5" thickBot="1" x14ac:dyDescent="0.3">
      <c r="B7" s="8" t="s">
        <v>3</v>
      </c>
      <c r="C7" s="9"/>
      <c r="D7" s="10"/>
      <c r="G7" s="12"/>
      <c r="J7" s="13"/>
    </row>
    <row r="8" spans="2:14" s="11" customFormat="1" ht="15.75" thickBot="1" x14ac:dyDescent="0.25">
      <c r="G8" s="12"/>
      <c r="J8" s="13"/>
    </row>
    <row r="9" spans="2:14" s="19" customFormat="1" ht="69.75" customHeight="1" x14ac:dyDescent="0.25">
      <c r="B9" s="14" t="s">
        <v>4</v>
      </c>
      <c r="C9" s="14" t="s">
        <v>5</v>
      </c>
      <c r="D9" s="14" t="s">
        <v>6</v>
      </c>
      <c r="E9" s="14" t="s">
        <v>7</v>
      </c>
      <c r="F9" s="14" t="s">
        <v>8</v>
      </c>
      <c r="G9" s="15" t="s">
        <v>9</v>
      </c>
      <c r="H9" s="16" t="s">
        <v>10</v>
      </c>
      <c r="I9" s="17" t="s">
        <v>11</v>
      </c>
      <c r="J9" s="18" t="s">
        <v>12</v>
      </c>
      <c r="K9" s="15" t="s">
        <v>13</v>
      </c>
      <c r="L9" s="16" t="s">
        <v>14</v>
      </c>
      <c r="M9" s="17" t="s">
        <v>15</v>
      </c>
      <c r="N9" s="18" t="s">
        <v>960</v>
      </c>
    </row>
    <row r="10" spans="2:14" ht="72.75" customHeight="1" x14ac:dyDescent="0.2">
      <c r="B10" s="945"/>
      <c r="C10" s="944"/>
      <c r="D10" s="845"/>
      <c r="E10" s="20"/>
      <c r="F10" s="845"/>
      <c r="G10" s="21"/>
      <c r="H10" s="939"/>
      <c r="I10" s="940"/>
      <c r="J10" s="938"/>
      <c r="K10" s="25"/>
      <c r="L10" s="939"/>
      <c r="M10" s="940"/>
      <c r="N10" s="946"/>
    </row>
    <row r="11" spans="2:14" ht="16.5" customHeight="1" x14ac:dyDescent="0.2">
      <c r="B11" s="20"/>
      <c r="C11" s="20"/>
      <c r="D11" s="20"/>
      <c r="E11" s="20"/>
      <c r="F11" s="20"/>
      <c r="G11" s="21"/>
      <c r="H11" s="22"/>
      <c r="I11" s="23"/>
      <c r="J11" s="26"/>
      <c r="K11" s="25"/>
      <c r="L11" s="24"/>
      <c r="M11" s="23"/>
      <c r="N11" s="26"/>
    </row>
    <row r="12" spans="2:14" ht="16.5" customHeight="1" x14ac:dyDescent="0.2">
      <c r="B12" s="20"/>
      <c r="C12" s="20"/>
      <c r="D12" s="20"/>
      <c r="E12" s="20"/>
      <c r="F12" s="20"/>
      <c r="G12" s="21"/>
      <c r="H12" s="22"/>
      <c r="I12" s="23"/>
      <c r="J12" s="26"/>
      <c r="K12" s="25"/>
      <c r="L12" s="24"/>
      <c r="M12" s="23"/>
      <c r="N12" s="26"/>
    </row>
    <row r="13" spans="2:14" ht="16.5" customHeight="1" x14ac:dyDescent="0.2">
      <c r="B13" s="20"/>
      <c r="C13" s="20"/>
      <c r="D13" s="20"/>
      <c r="E13" s="20"/>
      <c r="F13" s="20"/>
      <c r="G13" s="21"/>
      <c r="H13" s="22"/>
      <c r="I13" s="23"/>
      <c r="J13" s="26"/>
      <c r="K13" s="25"/>
      <c r="L13" s="24"/>
      <c r="M13" s="23"/>
      <c r="N13" s="26"/>
    </row>
    <row r="14" spans="2:14" ht="16.5" customHeight="1" x14ac:dyDescent="0.2">
      <c r="B14" s="20"/>
      <c r="C14" s="20"/>
      <c r="D14" s="20"/>
      <c r="E14" s="20"/>
      <c r="F14" s="20"/>
      <c r="G14" s="21"/>
      <c r="H14" s="22"/>
      <c r="I14" s="23"/>
      <c r="J14" s="26"/>
      <c r="K14" s="25"/>
      <c r="L14" s="24"/>
      <c r="M14" s="23"/>
      <c r="N14" s="26"/>
    </row>
    <row r="15" spans="2:14" ht="16.5" customHeight="1" x14ac:dyDescent="0.2">
      <c r="B15" s="20"/>
      <c r="C15" s="20"/>
      <c r="D15" s="20"/>
      <c r="E15" s="20"/>
      <c r="F15" s="20"/>
      <c r="G15" s="21"/>
      <c r="H15" s="22"/>
      <c r="I15" s="23"/>
      <c r="J15" s="26"/>
      <c r="K15" s="25"/>
      <c r="L15" s="24"/>
      <c r="M15" s="23"/>
      <c r="N15" s="26"/>
    </row>
    <row r="16" spans="2:14" ht="16.5" customHeight="1" x14ac:dyDescent="0.2">
      <c r="B16" s="20"/>
      <c r="C16" s="20"/>
      <c r="D16" s="20"/>
      <c r="E16" s="20"/>
      <c r="F16" s="20"/>
      <c r="G16" s="21"/>
      <c r="H16" s="22"/>
      <c r="I16" s="23"/>
      <c r="J16" s="26"/>
      <c r="K16" s="25"/>
      <c r="L16" s="24"/>
      <c r="M16" s="23"/>
      <c r="N16" s="26"/>
    </row>
    <row r="17" spans="2:14" ht="16.5" customHeight="1" x14ac:dyDescent="0.2">
      <c r="B17" s="20"/>
      <c r="C17" s="20"/>
      <c r="D17" s="20"/>
      <c r="E17" s="20"/>
      <c r="F17" s="20"/>
      <c r="G17" s="21"/>
      <c r="H17" s="22"/>
      <c r="I17" s="23"/>
      <c r="J17" s="26"/>
      <c r="K17" s="25"/>
      <c r="L17" s="24"/>
      <c r="M17" s="23"/>
      <c r="N17" s="26"/>
    </row>
    <row r="18" spans="2:14" ht="16.5" customHeight="1" thickBot="1" x14ac:dyDescent="0.25">
      <c r="B18" s="20"/>
      <c r="C18" s="20"/>
      <c r="D18" s="20"/>
      <c r="E18" s="20"/>
      <c r="F18" s="20"/>
      <c r="G18" s="21"/>
      <c r="H18" s="27"/>
      <c r="I18" s="28"/>
      <c r="J18" s="26"/>
      <c r="K18" s="25"/>
      <c r="L18" s="29"/>
      <c r="M18" s="28"/>
      <c r="N18" s="26"/>
    </row>
    <row r="19" spans="2:14" s="11" customFormat="1" ht="15" x14ac:dyDescent="0.2">
      <c r="G19" s="12"/>
      <c r="J19" s="13"/>
    </row>
    <row r="20" spans="2:14" s="11" customFormat="1" ht="15.75" thickBot="1" x14ac:dyDescent="0.25">
      <c r="G20" s="12"/>
      <c r="J20" s="13"/>
    </row>
    <row r="21" spans="2:14" s="11" customFormat="1" ht="16.5" thickBot="1" x14ac:dyDescent="0.3">
      <c r="B21" s="8" t="s">
        <v>17</v>
      </c>
      <c r="C21" s="30"/>
      <c r="D21" s="31"/>
      <c r="G21" s="12"/>
      <c r="J21" s="13"/>
    </row>
    <row r="22" spans="2:14" s="11" customFormat="1" ht="15.75" customHeight="1" thickBot="1" x14ac:dyDescent="0.25">
      <c r="G22" s="12"/>
      <c r="J22" s="13"/>
    </row>
    <row r="23" spans="2:14" s="19" customFormat="1" ht="60" x14ac:dyDescent="0.25">
      <c r="B23" s="14" t="s">
        <v>18</v>
      </c>
      <c r="C23" s="14" t="s">
        <v>5</v>
      </c>
      <c r="D23" s="14" t="s">
        <v>19</v>
      </c>
      <c r="E23" s="14" t="s">
        <v>7</v>
      </c>
      <c r="F23" s="14" t="s">
        <v>20</v>
      </c>
      <c r="G23" s="15" t="s">
        <v>9</v>
      </c>
      <c r="H23" s="16" t="s">
        <v>21</v>
      </c>
      <c r="I23" s="17" t="s">
        <v>22</v>
      </c>
      <c r="J23" s="18" t="s">
        <v>23</v>
      </c>
      <c r="K23" s="15" t="s">
        <v>24</v>
      </c>
      <c r="L23" s="16" t="s">
        <v>25</v>
      </c>
      <c r="M23" s="17" t="s">
        <v>15</v>
      </c>
      <c r="N23" s="18" t="s">
        <v>16</v>
      </c>
    </row>
    <row r="24" spans="2:14" ht="16.5" customHeight="1" x14ac:dyDescent="0.2">
      <c r="B24" s="20"/>
      <c r="C24" s="20"/>
      <c r="D24" s="20"/>
      <c r="E24" s="20"/>
      <c r="F24" s="20"/>
      <c r="G24" s="21"/>
      <c r="H24" s="89"/>
      <c r="I24" s="90"/>
      <c r="J24" s="32"/>
      <c r="K24" s="21"/>
      <c r="L24" s="89"/>
      <c r="M24" s="90"/>
      <c r="N24" s="26"/>
    </row>
    <row r="25" spans="2:14" ht="16.5" customHeight="1" x14ac:dyDescent="0.2">
      <c r="B25" s="20"/>
      <c r="C25" s="20"/>
      <c r="D25" s="20"/>
      <c r="E25" s="20"/>
      <c r="F25" s="20"/>
      <c r="G25" s="21"/>
      <c r="H25" s="89"/>
      <c r="I25" s="90"/>
      <c r="J25" s="32"/>
      <c r="K25" s="21"/>
      <c r="L25" s="89"/>
      <c r="M25" s="90"/>
      <c r="N25" s="26"/>
    </row>
    <row r="26" spans="2:14" ht="16.5" customHeight="1" x14ac:dyDescent="0.2">
      <c r="B26" s="20"/>
      <c r="C26" s="20"/>
      <c r="D26" s="20"/>
      <c r="E26" s="20"/>
      <c r="F26" s="20"/>
      <c r="G26" s="21"/>
      <c r="H26" s="89"/>
      <c r="I26" s="90"/>
      <c r="J26" s="32"/>
      <c r="K26" s="21"/>
      <c r="L26" s="89"/>
      <c r="M26" s="90"/>
      <c r="N26" s="26"/>
    </row>
    <row r="27" spans="2:14" ht="16.5" customHeight="1" x14ac:dyDescent="0.2">
      <c r="B27" s="20"/>
      <c r="C27" s="20"/>
      <c r="D27" s="20"/>
      <c r="E27" s="20"/>
      <c r="F27" s="20"/>
      <c r="G27" s="21"/>
      <c r="H27" s="89"/>
      <c r="I27" s="90"/>
      <c r="J27" s="32"/>
      <c r="K27" s="21"/>
      <c r="L27" s="89"/>
      <c r="M27" s="90"/>
      <c r="N27" s="26"/>
    </row>
    <row r="28" spans="2:14" ht="16.5" customHeight="1" x14ac:dyDescent="0.2">
      <c r="B28" s="20"/>
      <c r="C28" s="20"/>
      <c r="D28" s="20"/>
      <c r="E28" s="20"/>
      <c r="F28" s="20"/>
      <c r="G28" s="21"/>
      <c r="H28" s="89"/>
      <c r="I28" s="90"/>
      <c r="J28" s="32"/>
      <c r="K28" s="21"/>
      <c r="L28" s="89"/>
      <c r="M28" s="90"/>
      <c r="N28" s="26"/>
    </row>
    <row r="29" spans="2:14" ht="16.5" customHeight="1" x14ac:dyDescent="0.2">
      <c r="B29" s="20"/>
      <c r="C29" s="20"/>
      <c r="D29" s="20"/>
      <c r="E29" s="20"/>
      <c r="F29" s="20"/>
      <c r="G29" s="21"/>
      <c r="H29" s="89"/>
      <c r="I29" s="90"/>
      <c r="J29" s="32"/>
      <c r="K29" s="21"/>
      <c r="L29" s="89"/>
      <c r="M29" s="90"/>
      <c r="N29" s="26"/>
    </row>
    <row r="30" spans="2:14" ht="16.5" customHeight="1" x14ac:dyDescent="0.2">
      <c r="B30" s="20"/>
      <c r="C30" s="20"/>
      <c r="D30" s="20"/>
      <c r="E30" s="20"/>
      <c r="F30" s="20"/>
      <c r="G30" s="21"/>
      <c r="H30" s="89"/>
      <c r="I30" s="90"/>
      <c r="J30" s="32"/>
      <c r="K30" s="21"/>
      <c r="L30" s="89"/>
      <c r="M30" s="90"/>
      <c r="N30" s="26"/>
    </row>
    <row r="31" spans="2:14" ht="16.5" customHeight="1" x14ac:dyDescent="0.2">
      <c r="B31" s="20"/>
      <c r="C31" s="20"/>
      <c r="D31" s="20"/>
      <c r="E31" s="20"/>
      <c r="F31" s="20"/>
      <c r="G31" s="21"/>
      <c r="H31" s="89"/>
      <c r="I31" s="90"/>
      <c r="J31" s="32"/>
      <c r="K31" s="21"/>
      <c r="L31" s="89"/>
      <c r="M31" s="90"/>
      <c r="N31" s="26"/>
    </row>
    <row r="32" spans="2:14" ht="16.5" customHeight="1" x14ac:dyDescent="0.2">
      <c r="B32" s="20"/>
      <c r="C32" s="20"/>
      <c r="D32" s="20"/>
      <c r="E32" s="20"/>
      <c r="F32" s="20"/>
      <c r="G32" s="21"/>
      <c r="H32" s="89"/>
      <c r="I32" s="90"/>
      <c r="J32" s="32"/>
      <c r="K32" s="21"/>
      <c r="L32" s="89"/>
      <c r="M32" s="90"/>
      <c r="N32" s="26"/>
    </row>
    <row r="33" spans="2:14" ht="16.5" customHeight="1" x14ac:dyDescent="0.2">
      <c r="B33" s="20"/>
      <c r="C33" s="20"/>
      <c r="D33" s="20"/>
      <c r="E33" s="20"/>
      <c r="F33" s="20"/>
      <c r="G33" s="21"/>
      <c r="H33" s="89"/>
      <c r="I33" s="90"/>
      <c r="J33" s="32"/>
      <c r="K33" s="21"/>
      <c r="L33" s="89"/>
      <c r="M33" s="90"/>
      <c r="N33" s="26"/>
    </row>
    <row r="34" spans="2:14" ht="16.5" customHeight="1" thickBot="1" x14ac:dyDescent="0.25">
      <c r="B34" s="20"/>
      <c r="C34" s="20"/>
      <c r="D34" s="20"/>
      <c r="E34" s="20"/>
      <c r="F34" s="20"/>
      <c r="G34" s="21"/>
      <c r="H34" s="91"/>
      <c r="I34" s="92"/>
      <c r="J34" s="32"/>
      <c r="K34" s="21"/>
      <c r="L34" s="91"/>
      <c r="M34" s="92"/>
      <c r="N34" s="26"/>
    </row>
    <row r="35" spans="2:14" ht="33.75" customHeight="1" x14ac:dyDescent="0.2">
      <c r="G35" s="3"/>
      <c r="J35" s="3"/>
    </row>
    <row r="36" spans="2:14" ht="15" x14ac:dyDescent="0.25">
      <c r="B36" s="33"/>
      <c r="G36" s="3"/>
      <c r="J36" s="3"/>
    </row>
    <row r="37" spans="2:14" x14ac:dyDescent="0.2">
      <c r="G37" s="3"/>
      <c r="J37" s="3"/>
    </row>
    <row r="38" spans="2:14" x14ac:dyDescent="0.2">
      <c r="G38" s="3"/>
      <c r="J38" s="3"/>
    </row>
  </sheetData>
  <pageMargins left="0.16" right="0.16" top="0.77" bottom="0.71" header="0.5" footer="0.5"/>
  <pageSetup scale="5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BG50"/>
  <sheetViews>
    <sheetView view="pageBreakPreview" zoomScale="70" zoomScaleNormal="100" zoomScaleSheetLayoutView="70" workbookViewId="0">
      <selection activeCell="AL16" sqref="AL16"/>
    </sheetView>
  </sheetViews>
  <sheetFormatPr defaultColWidth="9.140625" defaultRowHeight="12.75" x14ac:dyDescent="0.2"/>
  <cols>
    <col min="1" max="1" width="4.28515625" style="190" customWidth="1"/>
    <col min="2" max="2" width="12.85546875" style="190" bestFit="1" customWidth="1"/>
    <col min="3" max="3" width="12.42578125" style="255" customWidth="1"/>
    <col min="4" max="4" width="9.140625" style="190" bestFit="1" customWidth="1"/>
    <col min="5" max="5" width="8.85546875" style="190" bestFit="1" customWidth="1"/>
    <col min="6" max="6" width="11.42578125" style="257" bestFit="1" customWidth="1"/>
    <col min="7" max="7" width="12" style="192" bestFit="1" customWidth="1"/>
    <col min="8" max="8" width="14" style="190" hidden="1" customWidth="1"/>
    <col min="9" max="9" width="11.5703125" style="190" hidden="1" customWidth="1"/>
    <col min="10" max="29" width="11" style="190" hidden="1" customWidth="1"/>
    <col min="30" max="31" width="8.85546875" style="258" bestFit="1" customWidth="1"/>
    <col min="32" max="32" width="6.140625" style="259" customWidth="1"/>
    <col min="33" max="33" width="11.85546875" style="260" customWidth="1"/>
    <col min="34" max="34" width="8.85546875" style="259" bestFit="1" customWidth="1"/>
    <col min="35" max="35" width="11.42578125" style="259" customWidth="1"/>
    <col min="36" max="36" width="8.85546875" style="259" bestFit="1" customWidth="1"/>
    <col min="37" max="37" width="12" style="259" customWidth="1"/>
    <col min="38" max="38" width="8.85546875" style="259" bestFit="1" customWidth="1"/>
    <col min="39" max="39" width="11.42578125" style="259" bestFit="1" customWidth="1"/>
    <col min="40" max="40" width="13" style="259" customWidth="1"/>
    <col min="41" max="41" width="15.28515625" style="259" hidden="1" customWidth="1"/>
    <col min="42" max="42" width="18.5703125" style="259" hidden="1" customWidth="1"/>
    <col min="43" max="47" width="11" style="259" hidden="1" customWidth="1"/>
    <col min="48" max="48" width="11" style="259" customWidth="1"/>
    <col min="49" max="49" width="10.28515625" style="259" customWidth="1"/>
    <col min="50" max="50" width="14" style="259" customWidth="1"/>
    <col min="51" max="51" width="11" style="259" customWidth="1"/>
    <col min="52" max="52" width="11.5703125" style="259" customWidth="1"/>
    <col min="53" max="16384" width="9.140625" style="190"/>
  </cols>
  <sheetData>
    <row r="1" spans="2:59" ht="20.25" customHeight="1" x14ac:dyDescent="0.2"/>
    <row r="2" spans="2:59" ht="21.95" customHeight="1" x14ac:dyDescent="0.25">
      <c r="C2" s="191" t="s">
        <v>139</v>
      </c>
      <c r="D2" s="192"/>
      <c r="E2" s="192"/>
      <c r="F2" s="192"/>
      <c r="AD2" s="190"/>
      <c r="AE2" s="190"/>
      <c r="AF2" s="190"/>
      <c r="AG2" s="190"/>
      <c r="AH2" s="190"/>
      <c r="AI2" s="190"/>
      <c r="AJ2" s="190"/>
      <c r="AK2" s="190"/>
      <c r="AL2" s="190"/>
      <c r="AM2" s="190"/>
      <c r="AN2" s="190"/>
      <c r="AO2" s="190"/>
      <c r="AP2" s="190"/>
      <c r="AQ2" s="190"/>
      <c r="AR2" s="190"/>
      <c r="AS2" s="190"/>
      <c r="AT2" s="190"/>
      <c r="AU2" s="190"/>
      <c r="AV2" s="190"/>
      <c r="AW2" s="190"/>
      <c r="AX2" s="190"/>
      <c r="AY2" s="190"/>
      <c r="AZ2" s="190"/>
    </row>
    <row r="3" spans="2:59" ht="21.95" customHeight="1" x14ac:dyDescent="0.2">
      <c r="C3" s="193" t="s">
        <v>140</v>
      </c>
      <c r="D3" s="194"/>
      <c r="E3" s="194"/>
      <c r="F3" s="194"/>
      <c r="G3" s="195"/>
      <c r="H3" s="196"/>
      <c r="I3" s="196"/>
      <c r="J3" s="196"/>
      <c r="K3" s="196"/>
      <c r="M3" s="194"/>
      <c r="N3" s="194"/>
      <c r="O3" s="194"/>
      <c r="P3" s="194"/>
      <c r="Q3" s="194"/>
      <c r="R3" s="194"/>
      <c r="S3" s="197"/>
      <c r="AD3" s="190"/>
      <c r="AE3" s="190"/>
      <c r="AF3" s="190"/>
      <c r="AG3" s="190"/>
      <c r="AH3" s="190"/>
      <c r="AI3" s="190"/>
      <c r="AJ3" s="190"/>
      <c r="AK3" s="190"/>
      <c r="AL3" s="190"/>
      <c r="AM3" s="190"/>
      <c r="AN3" s="190"/>
      <c r="AO3" s="190"/>
      <c r="AP3" s="190"/>
      <c r="AQ3" s="190"/>
      <c r="AR3" s="190"/>
      <c r="AS3" s="190"/>
      <c r="AT3" s="190"/>
      <c r="AU3" s="190"/>
      <c r="AV3" s="190"/>
      <c r="AW3" s="190"/>
      <c r="AX3" s="190"/>
      <c r="AY3" s="190"/>
      <c r="AZ3" s="190"/>
    </row>
    <row r="4" spans="2:59" ht="21.95" customHeight="1" thickBot="1" x14ac:dyDescent="0.25">
      <c r="C4" s="198"/>
      <c r="D4" s="194"/>
      <c r="E4" s="194"/>
      <c r="F4" s="194"/>
      <c r="G4" s="195"/>
      <c r="H4" s="194"/>
      <c r="I4" s="194"/>
      <c r="J4" s="194"/>
      <c r="K4" s="194"/>
      <c r="M4" s="194"/>
      <c r="N4" s="194"/>
      <c r="O4" s="194"/>
      <c r="P4" s="194"/>
      <c r="Q4" s="194"/>
      <c r="R4" s="194"/>
      <c r="S4" s="197"/>
      <c r="AD4" s="190"/>
      <c r="AE4" s="190"/>
      <c r="AF4" s="190"/>
      <c r="AG4" s="190"/>
      <c r="AH4" s="190"/>
      <c r="AI4" s="190"/>
      <c r="AJ4" s="190"/>
      <c r="AK4" s="190"/>
      <c r="AL4" s="190"/>
      <c r="AM4" s="190"/>
      <c r="AN4" s="199"/>
      <c r="AO4" s="190"/>
      <c r="AP4" s="190"/>
      <c r="AQ4" s="190"/>
      <c r="AR4" s="190"/>
      <c r="AS4" s="190"/>
      <c r="AT4" s="190"/>
      <c r="AU4" s="190"/>
      <c r="AV4" s="190"/>
      <c r="AW4" s="190"/>
      <c r="AX4" s="190"/>
      <c r="AY4" s="190"/>
      <c r="AZ4" s="190"/>
    </row>
    <row r="5" spans="2:59" ht="15.95" customHeight="1" thickBot="1" x14ac:dyDescent="0.25">
      <c r="C5" s="1110" t="s">
        <v>141</v>
      </c>
      <c r="D5" s="1111"/>
      <c r="E5" s="1111"/>
      <c r="F5" s="1111"/>
      <c r="G5" s="1111"/>
      <c r="H5" s="1111"/>
      <c r="I5" s="1112"/>
      <c r="J5" s="1110" t="s">
        <v>142</v>
      </c>
      <c r="K5" s="1111"/>
      <c r="L5" s="1111"/>
      <c r="M5" s="1111"/>
      <c r="N5" s="1111"/>
      <c r="O5" s="1111"/>
      <c r="P5" s="1112"/>
      <c r="Q5" s="200"/>
      <c r="R5" s="200"/>
      <c r="S5" s="200"/>
      <c r="T5" s="200"/>
      <c r="U5" s="200"/>
      <c r="V5" s="200"/>
      <c r="W5" s="200"/>
      <c r="X5" s="200"/>
      <c r="Y5" s="200"/>
      <c r="Z5" s="200"/>
      <c r="AA5" s="200"/>
      <c r="AB5" s="200"/>
      <c r="AC5" s="200"/>
      <c r="AD5" s="200"/>
      <c r="AE5" s="200"/>
      <c r="AF5" s="200"/>
      <c r="AG5" s="200"/>
      <c r="AH5" s="200"/>
      <c r="AI5" s="200"/>
      <c r="AJ5" s="200"/>
      <c r="AK5" s="200"/>
      <c r="AL5" s="200"/>
      <c r="AM5" s="201"/>
      <c r="AN5" s="190"/>
      <c r="AO5" s="202"/>
      <c r="AP5" s="202"/>
      <c r="AQ5" s="202"/>
      <c r="AR5" s="202"/>
      <c r="AS5" s="202"/>
      <c r="AT5" s="202"/>
      <c r="AU5" s="202"/>
      <c r="AV5" s="203" t="s">
        <v>142</v>
      </c>
      <c r="AW5" s="202"/>
      <c r="AX5" s="202"/>
      <c r="AY5" s="202"/>
      <c r="AZ5" s="204"/>
    </row>
    <row r="6" spans="2:59" ht="51.75" thickBot="1" x14ac:dyDescent="0.25">
      <c r="B6" s="205" t="s">
        <v>143</v>
      </c>
      <c r="C6" s="206" t="s">
        <v>144</v>
      </c>
      <c r="D6" s="206" t="s">
        <v>145</v>
      </c>
      <c r="E6" s="206" t="s">
        <v>146</v>
      </c>
      <c r="F6" s="207" t="s">
        <v>147</v>
      </c>
      <c r="G6" s="208" t="s">
        <v>148</v>
      </c>
      <c r="H6" s="209"/>
      <c r="I6" s="210"/>
      <c r="J6" s="210"/>
      <c r="K6" s="210"/>
      <c r="L6" s="210"/>
      <c r="M6" s="210"/>
      <c r="N6" s="210"/>
      <c r="O6" s="210"/>
      <c r="P6" s="210"/>
      <c r="Q6" s="210"/>
      <c r="R6" s="210"/>
      <c r="S6" s="210"/>
      <c r="T6" s="210"/>
      <c r="U6" s="210"/>
      <c r="V6" s="210"/>
      <c r="W6" s="210"/>
      <c r="X6" s="210"/>
      <c r="Y6" s="210"/>
      <c r="Z6" s="210"/>
      <c r="AA6" s="210"/>
      <c r="AB6" s="210"/>
      <c r="AC6" s="211"/>
      <c r="AD6" s="208" t="s">
        <v>149</v>
      </c>
      <c r="AE6" s="208" t="s">
        <v>150</v>
      </c>
      <c r="AF6" s="208" t="s">
        <v>151</v>
      </c>
      <c r="AG6" s="208" t="s">
        <v>152</v>
      </c>
      <c r="AH6" s="208" t="s">
        <v>153</v>
      </c>
      <c r="AI6" s="208" t="s">
        <v>154</v>
      </c>
      <c r="AJ6" s="208" t="s">
        <v>155</v>
      </c>
      <c r="AK6" s="208" t="s">
        <v>156</v>
      </c>
      <c r="AL6" s="208" t="s">
        <v>157</v>
      </c>
      <c r="AM6" s="208" t="s">
        <v>158</v>
      </c>
      <c r="AN6" s="208" t="s">
        <v>159</v>
      </c>
      <c r="AO6" s="212" t="s">
        <v>160</v>
      </c>
      <c r="AP6" s="213" t="s">
        <v>161</v>
      </c>
      <c r="AQ6" s="214"/>
      <c r="AR6" s="214"/>
      <c r="AS6" s="214"/>
      <c r="AT6" s="214"/>
      <c r="AU6" s="215"/>
      <c r="AV6" s="208" t="s">
        <v>162</v>
      </c>
      <c r="AW6" s="208" t="s">
        <v>163</v>
      </c>
      <c r="AX6" s="208" t="s">
        <v>164</v>
      </c>
      <c r="AY6" s="208" t="s">
        <v>165</v>
      </c>
      <c r="AZ6" s="208" t="s">
        <v>166</v>
      </c>
      <c r="BA6" s="216"/>
      <c r="BB6" s="217"/>
      <c r="BC6" s="217"/>
      <c r="BD6" s="217"/>
      <c r="BE6" s="217"/>
      <c r="BF6" s="217"/>
      <c r="BG6" s="216"/>
    </row>
    <row r="7" spans="2:59" x14ac:dyDescent="0.2">
      <c r="B7" s="218" t="s">
        <v>167</v>
      </c>
      <c r="C7" s="219"/>
      <c r="D7" s="220"/>
      <c r="E7" s="220"/>
      <c r="F7" s="221"/>
      <c r="G7" s="222"/>
      <c r="H7" s="223"/>
      <c r="I7" s="224"/>
      <c r="J7" s="223"/>
      <c r="K7" s="223"/>
      <c r="L7" s="223"/>
      <c r="M7" s="223"/>
      <c r="N7" s="223"/>
      <c r="O7" s="223"/>
      <c r="P7" s="223"/>
      <c r="Q7" s="223"/>
      <c r="R7" s="223"/>
      <c r="S7" s="223"/>
      <c r="T7" s="223"/>
      <c r="U7" s="223"/>
      <c r="V7" s="223"/>
      <c r="W7" s="223"/>
      <c r="X7" s="223"/>
      <c r="Y7" s="223"/>
      <c r="Z7" s="223"/>
      <c r="AA7" s="223"/>
      <c r="AB7" s="223"/>
      <c r="AC7" s="223"/>
      <c r="AD7" s="225"/>
      <c r="AE7" s="225"/>
      <c r="AF7" s="214"/>
      <c r="AG7" s="226"/>
      <c r="AH7" s="214">
        <f t="shared" ref="AH7:AH29" si="0">AE7*AG7</f>
        <v>0</v>
      </c>
      <c r="AI7" s="227"/>
      <c r="AJ7" s="214">
        <f t="shared" ref="AJ7:AJ29" si="1">AE7*AI7</f>
        <v>0</v>
      </c>
      <c r="AK7" s="227"/>
      <c r="AL7" s="214">
        <f t="shared" ref="AL7:AL29" si="2">AE7*AK7</f>
        <v>0</v>
      </c>
      <c r="AM7" s="227"/>
      <c r="AN7" s="214">
        <f t="shared" ref="AN7:AN29" si="3">AE7*AM7</f>
        <v>0</v>
      </c>
      <c r="AO7" s="228"/>
      <c r="AP7" s="229"/>
      <c r="AQ7" s="228"/>
      <c r="AR7" s="228"/>
      <c r="AS7" s="228"/>
      <c r="AT7" s="228"/>
      <c r="AU7" s="228"/>
      <c r="AV7" s="214"/>
      <c r="AW7" s="214"/>
      <c r="AX7" s="214"/>
      <c r="AY7" s="214"/>
      <c r="AZ7" s="214"/>
      <c r="BA7" s="230"/>
      <c r="BB7" s="231"/>
      <c r="BC7" s="231"/>
      <c r="BD7" s="231"/>
      <c r="BE7" s="231"/>
      <c r="BF7" s="231"/>
    </row>
    <row r="8" spans="2:59" x14ac:dyDescent="0.2">
      <c r="B8" s="232"/>
      <c r="C8" s="233"/>
      <c r="D8" s="223"/>
      <c r="E8" s="223"/>
      <c r="F8" s="234"/>
      <c r="G8" s="235"/>
      <c r="H8" s="223"/>
      <c r="I8" s="224"/>
      <c r="J8" s="223"/>
      <c r="K8" s="223"/>
      <c r="L8" s="223"/>
      <c r="M8" s="223"/>
      <c r="N8" s="223"/>
      <c r="O8" s="223"/>
      <c r="P8" s="223"/>
      <c r="Q8" s="223"/>
      <c r="R8" s="223"/>
      <c r="S8" s="223"/>
      <c r="T8" s="223"/>
      <c r="U8" s="223"/>
      <c r="V8" s="223"/>
      <c r="W8" s="223"/>
      <c r="X8" s="223"/>
      <c r="Y8" s="223"/>
      <c r="Z8" s="223"/>
      <c r="AA8" s="223"/>
      <c r="AB8" s="223"/>
      <c r="AC8" s="223"/>
      <c r="AD8" s="236"/>
      <c r="AE8" s="236"/>
      <c r="AF8" s="228"/>
      <c r="AG8" s="237"/>
      <c r="AH8" s="214">
        <f t="shared" si="0"/>
        <v>0</v>
      </c>
      <c r="AI8" s="229"/>
      <c r="AJ8" s="214">
        <f t="shared" si="1"/>
        <v>0</v>
      </c>
      <c r="AK8" s="229"/>
      <c r="AL8" s="214">
        <f t="shared" si="2"/>
        <v>0</v>
      </c>
      <c r="AM8" s="229"/>
      <c r="AN8" s="214">
        <f t="shared" si="3"/>
        <v>0</v>
      </c>
      <c r="AO8" s="228"/>
      <c r="AP8" s="229"/>
      <c r="AQ8" s="228"/>
      <c r="AR8" s="228"/>
      <c r="AS8" s="228"/>
      <c r="AT8" s="228"/>
      <c r="AU8" s="228"/>
      <c r="AV8" s="228"/>
      <c r="AW8" s="228"/>
      <c r="AX8" s="228"/>
      <c r="AY8" s="228"/>
      <c r="AZ8" s="228"/>
      <c r="BA8" s="230"/>
      <c r="BB8" s="238"/>
      <c r="BC8" s="238"/>
      <c r="BD8" s="238"/>
      <c r="BE8" s="238"/>
      <c r="BF8" s="238"/>
    </row>
    <row r="9" spans="2:59" x14ac:dyDescent="0.2">
      <c r="B9" s="232"/>
      <c r="C9" s="233"/>
      <c r="D9" s="223"/>
      <c r="E9" s="223"/>
      <c r="F9" s="234"/>
      <c r="G9" s="235"/>
      <c r="H9" s="223"/>
      <c r="I9" s="223"/>
      <c r="J9" s="223"/>
      <c r="K9" s="223"/>
      <c r="L9" s="223"/>
      <c r="M9" s="223"/>
      <c r="N9" s="223"/>
      <c r="O9" s="223"/>
      <c r="P9" s="223"/>
      <c r="Q9" s="223"/>
      <c r="R9" s="223"/>
      <c r="S9" s="223"/>
      <c r="T9" s="223"/>
      <c r="U9" s="223"/>
      <c r="V9" s="223"/>
      <c r="W9" s="223"/>
      <c r="X9" s="223"/>
      <c r="Y9" s="223"/>
      <c r="Z9" s="223"/>
      <c r="AA9" s="223"/>
      <c r="AB9" s="223"/>
      <c r="AC9" s="223"/>
      <c r="AD9" s="236"/>
      <c r="AE9" s="236"/>
      <c r="AF9" s="228"/>
      <c r="AG9" s="237"/>
      <c r="AH9" s="214">
        <f t="shared" si="0"/>
        <v>0</v>
      </c>
      <c r="AI9" s="229"/>
      <c r="AJ9" s="214">
        <f t="shared" si="1"/>
        <v>0</v>
      </c>
      <c r="AK9" s="229"/>
      <c r="AL9" s="214">
        <f t="shared" si="2"/>
        <v>0</v>
      </c>
      <c r="AM9" s="229"/>
      <c r="AN9" s="214">
        <f t="shared" si="3"/>
        <v>0</v>
      </c>
      <c r="AO9" s="228"/>
      <c r="AP9" s="229"/>
      <c r="AQ9" s="228"/>
      <c r="AR9" s="228"/>
      <c r="AS9" s="228"/>
      <c r="AT9" s="228"/>
      <c r="AU9" s="228"/>
      <c r="AV9" s="228"/>
      <c r="AW9" s="228"/>
      <c r="AX9" s="228"/>
      <c r="AY9" s="228"/>
      <c r="AZ9" s="228"/>
      <c r="BA9" s="230"/>
      <c r="BB9" s="238"/>
      <c r="BC9" s="238"/>
      <c r="BD9" s="238"/>
      <c r="BE9" s="238"/>
      <c r="BF9" s="238"/>
    </row>
    <row r="10" spans="2:59" x14ac:dyDescent="0.2">
      <c r="B10" s="232"/>
      <c r="C10" s="233"/>
      <c r="D10" s="223"/>
      <c r="E10" s="223"/>
      <c r="F10" s="234"/>
      <c r="G10" s="235"/>
      <c r="H10" s="223"/>
      <c r="I10" s="224"/>
      <c r="J10" s="223"/>
      <c r="K10" s="223"/>
      <c r="L10" s="223"/>
      <c r="M10" s="223"/>
      <c r="N10" s="223"/>
      <c r="O10" s="223"/>
      <c r="P10" s="223"/>
      <c r="Q10" s="223"/>
      <c r="R10" s="223"/>
      <c r="S10" s="223"/>
      <c r="T10" s="223"/>
      <c r="U10" s="223"/>
      <c r="V10" s="223"/>
      <c r="W10" s="223"/>
      <c r="X10" s="223"/>
      <c r="Y10" s="223"/>
      <c r="Z10" s="223"/>
      <c r="AA10" s="223"/>
      <c r="AB10" s="223"/>
      <c r="AC10" s="223"/>
      <c r="AD10" s="236"/>
      <c r="AE10" s="236"/>
      <c r="AF10" s="228"/>
      <c r="AG10" s="237"/>
      <c r="AH10" s="214">
        <f t="shared" si="0"/>
        <v>0</v>
      </c>
      <c r="AI10" s="229"/>
      <c r="AJ10" s="214">
        <f t="shared" si="1"/>
        <v>0</v>
      </c>
      <c r="AK10" s="229"/>
      <c r="AL10" s="214">
        <f t="shared" si="2"/>
        <v>0</v>
      </c>
      <c r="AM10" s="229"/>
      <c r="AN10" s="214">
        <f t="shared" si="3"/>
        <v>0</v>
      </c>
      <c r="AO10" s="228"/>
      <c r="AP10" s="229"/>
      <c r="AQ10" s="228"/>
      <c r="AR10" s="228"/>
      <c r="AS10" s="228"/>
      <c r="AT10" s="228"/>
      <c r="AU10" s="228"/>
      <c r="AV10" s="228"/>
      <c r="AW10" s="228"/>
      <c r="AX10" s="228"/>
      <c r="AY10" s="228"/>
      <c r="AZ10" s="228"/>
      <c r="BA10" s="230"/>
      <c r="BB10" s="238"/>
      <c r="BC10" s="238"/>
      <c r="BD10" s="238"/>
      <c r="BE10" s="238"/>
      <c r="BF10" s="238"/>
    </row>
    <row r="11" spans="2:59" x14ac:dyDescent="0.2">
      <c r="B11" s="232"/>
      <c r="C11" s="233"/>
      <c r="D11" s="223"/>
      <c r="E11" s="223"/>
      <c r="F11" s="234"/>
      <c r="G11" s="235"/>
      <c r="H11" s="223"/>
      <c r="I11" s="224"/>
      <c r="J11" s="223"/>
      <c r="K11" s="223"/>
      <c r="L11" s="223"/>
      <c r="M11" s="223"/>
      <c r="N11" s="223"/>
      <c r="O11" s="223"/>
      <c r="P11" s="223"/>
      <c r="Q11" s="223"/>
      <c r="R11" s="223"/>
      <c r="S11" s="223"/>
      <c r="T11" s="223"/>
      <c r="U11" s="223"/>
      <c r="V11" s="223"/>
      <c r="W11" s="223"/>
      <c r="X11" s="223"/>
      <c r="Y11" s="223"/>
      <c r="Z11" s="223"/>
      <c r="AA11" s="223"/>
      <c r="AB11" s="223"/>
      <c r="AC11" s="223"/>
      <c r="AD11" s="236"/>
      <c r="AE11" s="236"/>
      <c r="AF11" s="228"/>
      <c r="AG11" s="237"/>
      <c r="AH11" s="214">
        <f t="shared" si="0"/>
        <v>0</v>
      </c>
      <c r="AI11" s="229"/>
      <c r="AJ11" s="214">
        <f t="shared" si="1"/>
        <v>0</v>
      </c>
      <c r="AK11" s="229"/>
      <c r="AL11" s="214">
        <f t="shared" si="2"/>
        <v>0</v>
      </c>
      <c r="AM11" s="229"/>
      <c r="AN11" s="214">
        <f t="shared" si="3"/>
        <v>0</v>
      </c>
      <c r="AO11" s="228"/>
      <c r="AP11" s="229"/>
      <c r="AQ11" s="228"/>
      <c r="AR11" s="228"/>
      <c r="AS11" s="228"/>
      <c r="AT11" s="228"/>
      <c r="AU11" s="228"/>
      <c r="AV11" s="228"/>
      <c r="AW11" s="228"/>
      <c r="AX11" s="228"/>
      <c r="AY11" s="228"/>
      <c r="AZ11" s="228"/>
      <c r="BA11" s="230"/>
      <c r="BB11" s="238"/>
      <c r="BC11" s="238"/>
      <c r="BD11" s="238"/>
      <c r="BE11" s="238"/>
      <c r="BF11" s="238"/>
    </row>
    <row r="12" spans="2:59" x14ac:dyDescent="0.2">
      <c r="B12" s="232"/>
      <c r="C12" s="233"/>
      <c r="D12" s="223"/>
      <c r="E12" s="223"/>
      <c r="F12" s="234"/>
      <c r="G12" s="235"/>
      <c r="H12" s="223"/>
      <c r="I12" s="224"/>
      <c r="J12" s="223"/>
      <c r="K12" s="223"/>
      <c r="L12" s="223"/>
      <c r="M12" s="223"/>
      <c r="N12" s="223"/>
      <c r="O12" s="223"/>
      <c r="P12" s="223"/>
      <c r="Q12" s="223"/>
      <c r="R12" s="223"/>
      <c r="S12" s="223"/>
      <c r="T12" s="223"/>
      <c r="U12" s="223"/>
      <c r="V12" s="223"/>
      <c r="W12" s="223"/>
      <c r="X12" s="223"/>
      <c r="Y12" s="223"/>
      <c r="Z12" s="223"/>
      <c r="AA12" s="223"/>
      <c r="AB12" s="223"/>
      <c r="AC12" s="223"/>
      <c r="AD12" s="236"/>
      <c r="AE12" s="236"/>
      <c r="AF12" s="228"/>
      <c r="AG12" s="237"/>
      <c r="AH12" s="214">
        <f t="shared" si="0"/>
        <v>0</v>
      </c>
      <c r="AI12" s="229"/>
      <c r="AJ12" s="214">
        <f t="shared" si="1"/>
        <v>0</v>
      </c>
      <c r="AK12" s="229"/>
      <c r="AL12" s="214">
        <f t="shared" si="2"/>
        <v>0</v>
      </c>
      <c r="AM12" s="229"/>
      <c r="AN12" s="214">
        <f t="shared" si="3"/>
        <v>0</v>
      </c>
      <c r="AO12" s="228"/>
      <c r="AP12" s="229"/>
      <c r="AQ12" s="228"/>
      <c r="AR12" s="228"/>
      <c r="AS12" s="228"/>
      <c r="AT12" s="228"/>
      <c r="AU12" s="228"/>
      <c r="AV12" s="228"/>
      <c r="AW12" s="228"/>
      <c r="AX12" s="228"/>
      <c r="AY12" s="228"/>
      <c r="AZ12" s="228"/>
      <c r="BA12" s="230"/>
      <c r="BB12" s="238"/>
      <c r="BC12" s="238"/>
      <c r="BD12" s="238"/>
      <c r="BE12" s="238"/>
      <c r="BF12" s="238"/>
    </row>
    <row r="13" spans="2:59" x14ac:dyDescent="0.2">
      <c r="B13" s="232"/>
      <c r="C13" s="233"/>
      <c r="D13" s="223"/>
      <c r="E13" s="223"/>
      <c r="F13" s="234"/>
      <c r="G13" s="235"/>
      <c r="H13" s="223"/>
      <c r="I13" s="224"/>
      <c r="J13" s="223"/>
      <c r="K13" s="223"/>
      <c r="L13" s="223"/>
      <c r="M13" s="223"/>
      <c r="N13" s="223"/>
      <c r="O13" s="223"/>
      <c r="P13" s="223"/>
      <c r="Q13" s="223"/>
      <c r="R13" s="223"/>
      <c r="S13" s="223"/>
      <c r="T13" s="223"/>
      <c r="U13" s="223"/>
      <c r="V13" s="223"/>
      <c r="W13" s="223"/>
      <c r="X13" s="223"/>
      <c r="Y13" s="223"/>
      <c r="Z13" s="223"/>
      <c r="AA13" s="223"/>
      <c r="AB13" s="223"/>
      <c r="AC13" s="223"/>
      <c r="AD13" s="236"/>
      <c r="AE13" s="236"/>
      <c r="AF13" s="228"/>
      <c r="AG13" s="237"/>
      <c r="AH13" s="214">
        <f t="shared" si="0"/>
        <v>0</v>
      </c>
      <c r="AI13" s="229"/>
      <c r="AJ13" s="214">
        <f t="shared" si="1"/>
        <v>0</v>
      </c>
      <c r="AK13" s="229"/>
      <c r="AL13" s="214">
        <f t="shared" si="2"/>
        <v>0</v>
      </c>
      <c r="AM13" s="229"/>
      <c r="AN13" s="214">
        <f t="shared" si="3"/>
        <v>0</v>
      </c>
      <c r="AO13" s="228"/>
      <c r="AP13" s="229"/>
      <c r="AQ13" s="228"/>
      <c r="AR13" s="228"/>
      <c r="AS13" s="228"/>
      <c r="AT13" s="228"/>
      <c r="AU13" s="228"/>
      <c r="AV13" s="228"/>
      <c r="AW13" s="228"/>
      <c r="AX13" s="228"/>
      <c r="AY13" s="228"/>
      <c r="AZ13" s="228"/>
      <c r="BA13" s="230"/>
      <c r="BB13" s="238"/>
      <c r="BC13" s="238"/>
      <c r="BD13" s="238"/>
      <c r="BE13" s="238"/>
      <c r="BF13" s="238"/>
    </row>
    <row r="14" spans="2:59" x14ac:dyDescent="0.2">
      <c r="B14" s="232"/>
      <c r="C14" s="233"/>
      <c r="D14" s="223"/>
      <c r="E14" s="223"/>
      <c r="F14" s="234"/>
      <c r="G14" s="235"/>
      <c r="H14" s="223"/>
      <c r="I14" s="224"/>
      <c r="J14" s="223"/>
      <c r="K14" s="223"/>
      <c r="L14" s="223"/>
      <c r="M14" s="223"/>
      <c r="N14" s="223"/>
      <c r="O14" s="223"/>
      <c r="P14" s="223"/>
      <c r="Q14" s="223"/>
      <c r="R14" s="223"/>
      <c r="S14" s="223"/>
      <c r="T14" s="223"/>
      <c r="U14" s="223"/>
      <c r="V14" s="223"/>
      <c r="W14" s="223"/>
      <c r="X14" s="223"/>
      <c r="Y14" s="223"/>
      <c r="Z14" s="223"/>
      <c r="AA14" s="223"/>
      <c r="AB14" s="223"/>
      <c r="AC14" s="223"/>
      <c r="AD14" s="236"/>
      <c r="AE14" s="236"/>
      <c r="AF14" s="228"/>
      <c r="AG14" s="237"/>
      <c r="AH14" s="214">
        <f t="shared" si="0"/>
        <v>0</v>
      </c>
      <c r="AI14" s="229"/>
      <c r="AJ14" s="214">
        <f t="shared" si="1"/>
        <v>0</v>
      </c>
      <c r="AK14" s="229"/>
      <c r="AL14" s="214">
        <f t="shared" si="2"/>
        <v>0</v>
      </c>
      <c r="AM14" s="229"/>
      <c r="AN14" s="214">
        <f t="shared" si="3"/>
        <v>0</v>
      </c>
      <c r="AO14" s="228"/>
      <c r="AP14" s="229"/>
      <c r="AQ14" s="228"/>
      <c r="AR14" s="228"/>
      <c r="AS14" s="228"/>
      <c r="AT14" s="228"/>
      <c r="AU14" s="228"/>
      <c r="AV14" s="228"/>
      <c r="AW14" s="228"/>
      <c r="AX14" s="228"/>
      <c r="AY14" s="228"/>
      <c r="AZ14" s="228"/>
      <c r="BA14" s="230"/>
      <c r="BB14" s="238"/>
      <c r="BC14" s="238"/>
      <c r="BD14" s="238"/>
      <c r="BE14" s="238"/>
      <c r="BF14" s="238"/>
    </row>
    <row r="15" spans="2:59" x14ac:dyDescent="0.2">
      <c r="B15" s="232"/>
      <c r="C15" s="233"/>
      <c r="D15" s="223"/>
      <c r="E15" s="223"/>
      <c r="F15" s="234"/>
      <c r="G15" s="235"/>
      <c r="H15" s="223"/>
      <c r="I15" s="224"/>
      <c r="J15" s="223"/>
      <c r="K15" s="223"/>
      <c r="L15" s="223"/>
      <c r="M15" s="223"/>
      <c r="N15" s="223"/>
      <c r="O15" s="223"/>
      <c r="P15" s="223"/>
      <c r="Q15" s="223"/>
      <c r="R15" s="223"/>
      <c r="S15" s="223"/>
      <c r="T15" s="223"/>
      <c r="U15" s="223"/>
      <c r="V15" s="223"/>
      <c r="W15" s="223"/>
      <c r="X15" s="223"/>
      <c r="Y15" s="223"/>
      <c r="Z15" s="223"/>
      <c r="AA15" s="223"/>
      <c r="AB15" s="223"/>
      <c r="AC15" s="223"/>
      <c r="AD15" s="236"/>
      <c r="AE15" s="236"/>
      <c r="AF15" s="228"/>
      <c r="AG15" s="237"/>
      <c r="AH15" s="214">
        <f t="shared" si="0"/>
        <v>0</v>
      </c>
      <c r="AI15" s="229"/>
      <c r="AJ15" s="214">
        <f t="shared" si="1"/>
        <v>0</v>
      </c>
      <c r="AK15" s="229"/>
      <c r="AL15" s="214">
        <f t="shared" si="2"/>
        <v>0</v>
      </c>
      <c r="AM15" s="229"/>
      <c r="AN15" s="214">
        <f t="shared" si="3"/>
        <v>0</v>
      </c>
      <c r="AO15" s="228"/>
      <c r="AP15" s="229"/>
      <c r="AQ15" s="228"/>
      <c r="AR15" s="228"/>
      <c r="AS15" s="228"/>
      <c r="AT15" s="228"/>
      <c r="AU15" s="228"/>
      <c r="AV15" s="228"/>
      <c r="AW15" s="228"/>
      <c r="AX15" s="228"/>
      <c r="AY15" s="228"/>
      <c r="AZ15" s="228"/>
      <c r="BA15" s="230"/>
      <c r="BB15" s="238"/>
      <c r="BC15" s="238"/>
      <c r="BD15" s="238"/>
      <c r="BE15" s="238"/>
      <c r="BF15" s="238"/>
    </row>
    <row r="16" spans="2:59" x14ac:dyDescent="0.2">
      <c r="B16" s="232"/>
      <c r="C16" s="233"/>
      <c r="D16" s="223"/>
      <c r="E16" s="223"/>
      <c r="F16" s="234"/>
      <c r="G16" s="235"/>
      <c r="H16" s="223"/>
      <c r="I16" s="224"/>
      <c r="J16" s="223"/>
      <c r="K16" s="223"/>
      <c r="L16" s="223"/>
      <c r="M16" s="223"/>
      <c r="N16" s="223"/>
      <c r="O16" s="223"/>
      <c r="P16" s="223"/>
      <c r="Q16" s="223"/>
      <c r="R16" s="223"/>
      <c r="S16" s="223"/>
      <c r="T16" s="223"/>
      <c r="U16" s="223"/>
      <c r="V16" s="223"/>
      <c r="W16" s="223"/>
      <c r="X16" s="223"/>
      <c r="Y16" s="223"/>
      <c r="Z16" s="223"/>
      <c r="AA16" s="223"/>
      <c r="AB16" s="223"/>
      <c r="AC16" s="223"/>
      <c r="AD16" s="236"/>
      <c r="AE16" s="236"/>
      <c r="AF16" s="228"/>
      <c r="AG16" s="237"/>
      <c r="AH16" s="214">
        <f t="shared" si="0"/>
        <v>0</v>
      </c>
      <c r="AI16" s="229"/>
      <c r="AJ16" s="214">
        <f t="shared" si="1"/>
        <v>0</v>
      </c>
      <c r="AK16" s="229"/>
      <c r="AL16" s="214">
        <f t="shared" si="2"/>
        <v>0</v>
      </c>
      <c r="AM16" s="229"/>
      <c r="AN16" s="214">
        <f t="shared" si="3"/>
        <v>0</v>
      </c>
      <c r="AO16" s="228"/>
      <c r="AP16" s="229"/>
      <c r="AQ16" s="228"/>
      <c r="AR16" s="228"/>
      <c r="AS16" s="228"/>
      <c r="AT16" s="228"/>
      <c r="AU16" s="228"/>
      <c r="AV16" s="228"/>
      <c r="AW16" s="228"/>
      <c r="AX16" s="228"/>
      <c r="AY16" s="228"/>
      <c r="AZ16" s="228"/>
      <c r="BA16" s="230"/>
      <c r="BB16" s="238"/>
      <c r="BC16" s="238"/>
      <c r="BD16" s="238"/>
      <c r="BE16" s="238"/>
      <c r="BF16" s="238"/>
    </row>
    <row r="17" spans="2:59" x14ac:dyDescent="0.2">
      <c r="B17" s="232"/>
      <c r="C17" s="233"/>
      <c r="D17" s="223"/>
      <c r="E17" s="223"/>
      <c r="F17" s="234"/>
      <c r="G17" s="235"/>
      <c r="H17" s="223"/>
      <c r="I17" s="224"/>
      <c r="J17" s="223"/>
      <c r="K17" s="223"/>
      <c r="L17" s="223"/>
      <c r="M17" s="223"/>
      <c r="N17" s="223"/>
      <c r="O17" s="223"/>
      <c r="P17" s="223"/>
      <c r="Q17" s="223"/>
      <c r="R17" s="223"/>
      <c r="S17" s="223"/>
      <c r="T17" s="223"/>
      <c r="U17" s="223"/>
      <c r="V17" s="223"/>
      <c r="W17" s="223"/>
      <c r="X17" s="223"/>
      <c r="Y17" s="223"/>
      <c r="Z17" s="223"/>
      <c r="AA17" s="223"/>
      <c r="AB17" s="223"/>
      <c r="AC17" s="223"/>
      <c r="AD17" s="236"/>
      <c r="AE17" s="236"/>
      <c r="AF17" s="228"/>
      <c r="AG17" s="237"/>
      <c r="AH17" s="214">
        <f t="shared" si="0"/>
        <v>0</v>
      </c>
      <c r="AI17" s="229"/>
      <c r="AJ17" s="214">
        <f t="shared" si="1"/>
        <v>0</v>
      </c>
      <c r="AK17" s="229"/>
      <c r="AL17" s="214">
        <f t="shared" si="2"/>
        <v>0</v>
      </c>
      <c r="AM17" s="229"/>
      <c r="AN17" s="214">
        <f t="shared" si="3"/>
        <v>0</v>
      </c>
      <c r="AO17" s="228"/>
      <c r="AP17" s="229"/>
      <c r="AQ17" s="228"/>
      <c r="AR17" s="228"/>
      <c r="AS17" s="228"/>
      <c r="AT17" s="228"/>
      <c r="AU17" s="228"/>
      <c r="AV17" s="228"/>
      <c r="AW17" s="228"/>
      <c r="AX17" s="228"/>
      <c r="AY17" s="228"/>
      <c r="AZ17" s="228"/>
      <c r="BA17" s="230"/>
      <c r="BB17" s="238"/>
      <c r="BC17" s="238"/>
      <c r="BD17" s="238"/>
      <c r="BE17" s="238"/>
      <c r="BF17" s="238"/>
    </row>
    <row r="18" spans="2:59" x14ac:dyDescent="0.2">
      <c r="B18" s="232"/>
      <c r="C18" s="233"/>
      <c r="D18" s="223"/>
      <c r="E18" s="223"/>
      <c r="F18" s="234"/>
      <c r="G18" s="235"/>
      <c r="H18" s="223"/>
      <c r="I18" s="224"/>
      <c r="J18" s="223"/>
      <c r="K18" s="223"/>
      <c r="L18" s="223"/>
      <c r="M18" s="223"/>
      <c r="N18" s="223"/>
      <c r="O18" s="223"/>
      <c r="P18" s="223"/>
      <c r="Q18" s="223"/>
      <c r="R18" s="223"/>
      <c r="S18" s="223"/>
      <c r="T18" s="223"/>
      <c r="U18" s="223"/>
      <c r="V18" s="223"/>
      <c r="W18" s="223"/>
      <c r="X18" s="223"/>
      <c r="Y18" s="223"/>
      <c r="Z18" s="223"/>
      <c r="AA18" s="223"/>
      <c r="AB18" s="223"/>
      <c r="AC18" s="223"/>
      <c r="AD18" s="236"/>
      <c r="AE18" s="236"/>
      <c r="AF18" s="228"/>
      <c r="AG18" s="237"/>
      <c r="AH18" s="214">
        <f t="shared" si="0"/>
        <v>0</v>
      </c>
      <c r="AI18" s="229"/>
      <c r="AJ18" s="214">
        <f t="shared" si="1"/>
        <v>0</v>
      </c>
      <c r="AK18" s="229"/>
      <c r="AL18" s="214">
        <f t="shared" si="2"/>
        <v>0</v>
      </c>
      <c r="AM18" s="229"/>
      <c r="AN18" s="214">
        <f t="shared" si="3"/>
        <v>0</v>
      </c>
      <c r="AO18" s="228"/>
      <c r="AP18" s="229"/>
      <c r="AQ18" s="228"/>
      <c r="AR18" s="228"/>
      <c r="AS18" s="228"/>
      <c r="AT18" s="228"/>
      <c r="AU18" s="228"/>
      <c r="AV18" s="228"/>
      <c r="AW18" s="228"/>
      <c r="AX18" s="228"/>
      <c r="AY18" s="228"/>
      <c r="AZ18" s="228"/>
      <c r="BA18" s="230"/>
      <c r="BB18" s="238"/>
      <c r="BC18" s="238"/>
      <c r="BD18" s="238"/>
      <c r="BE18" s="238"/>
      <c r="BF18" s="238"/>
    </row>
    <row r="19" spans="2:59" x14ac:dyDescent="0.2">
      <c r="B19" s="232"/>
      <c r="C19" s="233"/>
      <c r="D19" s="223"/>
      <c r="E19" s="223"/>
      <c r="F19" s="234"/>
      <c r="G19" s="235"/>
      <c r="H19" s="223"/>
      <c r="I19" s="224"/>
      <c r="J19" s="223"/>
      <c r="K19" s="223"/>
      <c r="L19" s="223"/>
      <c r="M19" s="223"/>
      <c r="N19" s="223"/>
      <c r="O19" s="223"/>
      <c r="P19" s="223"/>
      <c r="Q19" s="223"/>
      <c r="R19" s="223"/>
      <c r="S19" s="223"/>
      <c r="T19" s="223"/>
      <c r="U19" s="223"/>
      <c r="V19" s="223"/>
      <c r="W19" s="223"/>
      <c r="X19" s="223"/>
      <c r="Y19" s="223"/>
      <c r="Z19" s="223"/>
      <c r="AA19" s="223"/>
      <c r="AB19" s="223"/>
      <c r="AC19" s="223"/>
      <c r="AD19" s="236"/>
      <c r="AE19" s="236"/>
      <c r="AF19" s="228"/>
      <c r="AG19" s="237"/>
      <c r="AH19" s="214">
        <f t="shared" si="0"/>
        <v>0</v>
      </c>
      <c r="AI19" s="229"/>
      <c r="AJ19" s="214">
        <f t="shared" si="1"/>
        <v>0</v>
      </c>
      <c r="AK19" s="229"/>
      <c r="AL19" s="214">
        <f t="shared" si="2"/>
        <v>0</v>
      </c>
      <c r="AM19" s="229"/>
      <c r="AN19" s="214">
        <f t="shared" si="3"/>
        <v>0</v>
      </c>
      <c r="AO19" s="228"/>
      <c r="AP19" s="229"/>
      <c r="AQ19" s="228"/>
      <c r="AR19" s="228"/>
      <c r="AS19" s="228"/>
      <c r="AT19" s="228"/>
      <c r="AU19" s="228"/>
      <c r="AV19" s="228"/>
      <c r="AW19" s="228"/>
      <c r="AX19" s="228"/>
      <c r="AY19" s="228"/>
      <c r="AZ19" s="228"/>
      <c r="BA19" s="230"/>
      <c r="BB19" s="238"/>
      <c r="BC19" s="238"/>
      <c r="BD19" s="238"/>
      <c r="BE19" s="238"/>
      <c r="BF19" s="238"/>
    </row>
    <row r="20" spans="2:59" x14ac:dyDescent="0.2">
      <c r="B20" s="232"/>
      <c r="C20" s="233"/>
      <c r="D20" s="223"/>
      <c r="E20" s="223"/>
      <c r="F20" s="234"/>
      <c r="G20" s="235"/>
      <c r="H20" s="223"/>
      <c r="I20" s="224"/>
      <c r="J20" s="223"/>
      <c r="K20" s="223"/>
      <c r="L20" s="223"/>
      <c r="M20" s="223"/>
      <c r="N20" s="223"/>
      <c r="O20" s="223"/>
      <c r="P20" s="223"/>
      <c r="Q20" s="223"/>
      <c r="R20" s="223"/>
      <c r="S20" s="223"/>
      <c r="T20" s="223"/>
      <c r="U20" s="223"/>
      <c r="V20" s="223"/>
      <c r="W20" s="223"/>
      <c r="X20" s="223"/>
      <c r="Y20" s="223"/>
      <c r="Z20" s="223"/>
      <c r="AA20" s="223"/>
      <c r="AB20" s="223"/>
      <c r="AC20" s="223"/>
      <c r="AD20" s="236"/>
      <c r="AE20" s="236"/>
      <c r="AF20" s="228"/>
      <c r="AG20" s="237"/>
      <c r="AH20" s="214">
        <f t="shared" si="0"/>
        <v>0</v>
      </c>
      <c r="AI20" s="229"/>
      <c r="AJ20" s="214">
        <f t="shared" si="1"/>
        <v>0</v>
      </c>
      <c r="AK20" s="229"/>
      <c r="AL20" s="214">
        <f t="shared" si="2"/>
        <v>0</v>
      </c>
      <c r="AM20" s="229"/>
      <c r="AN20" s="214">
        <f t="shared" si="3"/>
        <v>0</v>
      </c>
      <c r="AO20" s="228"/>
      <c r="AP20" s="229"/>
      <c r="AQ20" s="228"/>
      <c r="AR20" s="228"/>
      <c r="AS20" s="228"/>
      <c r="AT20" s="228"/>
      <c r="AU20" s="228"/>
      <c r="AV20" s="228"/>
      <c r="AW20" s="228"/>
      <c r="AX20" s="228"/>
      <c r="AY20" s="228"/>
      <c r="AZ20" s="228"/>
      <c r="BA20" s="230"/>
      <c r="BB20" s="238"/>
      <c r="BC20" s="238"/>
      <c r="BD20" s="238"/>
      <c r="BE20" s="238"/>
      <c r="BF20" s="238"/>
    </row>
    <row r="21" spans="2:59" x14ac:dyDescent="0.2">
      <c r="B21" s="232"/>
      <c r="C21" s="233"/>
      <c r="D21" s="223"/>
      <c r="E21" s="223"/>
      <c r="F21" s="234"/>
      <c r="G21" s="235"/>
      <c r="H21" s="223"/>
      <c r="I21" s="224"/>
      <c r="J21" s="223"/>
      <c r="K21" s="223"/>
      <c r="L21" s="223"/>
      <c r="M21" s="223"/>
      <c r="N21" s="223"/>
      <c r="O21" s="223"/>
      <c r="P21" s="223"/>
      <c r="Q21" s="223"/>
      <c r="R21" s="223"/>
      <c r="S21" s="223"/>
      <c r="T21" s="223"/>
      <c r="U21" s="223"/>
      <c r="V21" s="223"/>
      <c r="W21" s="223"/>
      <c r="X21" s="223"/>
      <c r="Y21" s="223"/>
      <c r="Z21" s="223"/>
      <c r="AA21" s="223"/>
      <c r="AB21" s="223"/>
      <c r="AC21" s="223"/>
      <c r="AD21" s="236"/>
      <c r="AE21" s="236"/>
      <c r="AF21" s="228"/>
      <c r="AG21" s="237"/>
      <c r="AH21" s="214">
        <f t="shared" si="0"/>
        <v>0</v>
      </c>
      <c r="AI21" s="229"/>
      <c r="AJ21" s="214">
        <f t="shared" si="1"/>
        <v>0</v>
      </c>
      <c r="AK21" s="229"/>
      <c r="AL21" s="214">
        <f t="shared" si="2"/>
        <v>0</v>
      </c>
      <c r="AM21" s="229"/>
      <c r="AN21" s="214">
        <f t="shared" si="3"/>
        <v>0</v>
      </c>
      <c r="AO21" s="228"/>
      <c r="AP21" s="229"/>
      <c r="AQ21" s="228"/>
      <c r="AR21" s="228"/>
      <c r="AS21" s="228"/>
      <c r="AT21" s="228"/>
      <c r="AU21" s="228"/>
      <c r="AV21" s="228"/>
      <c r="AW21" s="228"/>
      <c r="AX21" s="228"/>
      <c r="AY21" s="228"/>
      <c r="AZ21" s="228"/>
      <c r="BA21" s="230"/>
      <c r="BB21" s="238"/>
      <c r="BC21" s="238"/>
      <c r="BD21" s="238"/>
      <c r="BE21" s="238"/>
      <c r="BF21" s="238"/>
    </row>
    <row r="22" spans="2:59" x14ac:dyDescent="0.2">
      <c r="B22" s="232"/>
      <c r="C22" s="233"/>
      <c r="D22" s="223"/>
      <c r="E22" s="223"/>
      <c r="F22" s="234"/>
      <c r="G22" s="235"/>
      <c r="H22" s="223"/>
      <c r="I22" s="224"/>
      <c r="J22" s="223"/>
      <c r="K22" s="223"/>
      <c r="L22" s="223"/>
      <c r="M22" s="223"/>
      <c r="N22" s="223"/>
      <c r="O22" s="223"/>
      <c r="P22" s="223"/>
      <c r="Q22" s="223"/>
      <c r="R22" s="223"/>
      <c r="S22" s="223"/>
      <c r="T22" s="223"/>
      <c r="U22" s="223"/>
      <c r="V22" s="223"/>
      <c r="W22" s="223"/>
      <c r="X22" s="223"/>
      <c r="Y22" s="223"/>
      <c r="Z22" s="223"/>
      <c r="AA22" s="223"/>
      <c r="AB22" s="223"/>
      <c r="AC22" s="223"/>
      <c r="AD22" s="236"/>
      <c r="AE22" s="236"/>
      <c r="AF22" s="228"/>
      <c r="AG22" s="237"/>
      <c r="AH22" s="214">
        <f t="shared" si="0"/>
        <v>0</v>
      </c>
      <c r="AI22" s="229"/>
      <c r="AJ22" s="214">
        <f t="shared" si="1"/>
        <v>0</v>
      </c>
      <c r="AK22" s="229"/>
      <c r="AL22" s="214">
        <f t="shared" si="2"/>
        <v>0</v>
      </c>
      <c r="AM22" s="229"/>
      <c r="AN22" s="214">
        <f t="shared" si="3"/>
        <v>0</v>
      </c>
      <c r="AO22" s="228"/>
      <c r="AP22" s="229"/>
      <c r="AQ22" s="228"/>
      <c r="AR22" s="228"/>
      <c r="AS22" s="228"/>
      <c r="AT22" s="228"/>
      <c r="AU22" s="228"/>
      <c r="AV22" s="228"/>
      <c r="AW22" s="228"/>
      <c r="AX22" s="228"/>
      <c r="AY22" s="228"/>
      <c r="AZ22" s="228"/>
      <c r="BA22" s="230"/>
      <c r="BB22" s="238"/>
      <c r="BC22" s="238"/>
      <c r="BD22" s="238"/>
      <c r="BE22" s="238"/>
      <c r="BF22" s="238"/>
    </row>
    <row r="23" spans="2:59" x14ac:dyDescent="0.2">
      <c r="B23" s="232"/>
      <c r="C23" s="233"/>
      <c r="D23" s="223"/>
      <c r="E23" s="223"/>
      <c r="F23" s="234"/>
      <c r="G23" s="235"/>
      <c r="H23" s="223"/>
      <c r="I23" s="224"/>
      <c r="J23" s="223"/>
      <c r="K23" s="223"/>
      <c r="L23" s="223"/>
      <c r="M23" s="223"/>
      <c r="N23" s="223"/>
      <c r="O23" s="223"/>
      <c r="P23" s="223"/>
      <c r="Q23" s="223"/>
      <c r="R23" s="223"/>
      <c r="S23" s="223"/>
      <c r="T23" s="223"/>
      <c r="U23" s="223"/>
      <c r="V23" s="223"/>
      <c r="W23" s="223"/>
      <c r="X23" s="223"/>
      <c r="Y23" s="223"/>
      <c r="Z23" s="223"/>
      <c r="AA23" s="223"/>
      <c r="AB23" s="223"/>
      <c r="AC23" s="223"/>
      <c r="AD23" s="236"/>
      <c r="AE23" s="236"/>
      <c r="AF23" s="228"/>
      <c r="AG23" s="237"/>
      <c r="AH23" s="214">
        <f t="shared" si="0"/>
        <v>0</v>
      </c>
      <c r="AI23" s="229"/>
      <c r="AJ23" s="214">
        <f t="shared" si="1"/>
        <v>0</v>
      </c>
      <c r="AK23" s="229"/>
      <c r="AL23" s="214">
        <f t="shared" si="2"/>
        <v>0</v>
      </c>
      <c r="AM23" s="229"/>
      <c r="AN23" s="214">
        <f t="shared" si="3"/>
        <v>0</v>
      </c>
      <c r="AO23" s="228"/>
      <c r="AP23" s="229"/>
      <c r="AQ23" s="228"/>
      <c r="AR23" s="228"/>
      <c r="AS23" s="228"/>
      <c r="AT23" s="228"/>
      <c r="AU23" s="228"/>
      <c r="AV23" s="228"/>
      <c r="AW23" s="228"/>
      <c r="AX23" s="228"/>
      <c r="AY23" s="228"/>
      <c r="AZ23" s="228"/>
      <c r="BA23" s="230"/>
      <c r="BB23" s="238"/>
      <c r="BC23" s="238"/>
      <c r="BD23" s="238"/>
      <c r="BE23" s="238"/>
      <c r="BF23" s="238"/>
    </row>
    <row r="24" spans="2:59" x14ac:dyDescent="0.2">
      <c r="B24" s="232"/>
      <c r="C24" s="233"/>
      <c r="D24" s="223"/>
      <c r="E24" s="223"/>
      <c r="F24" s="234"/>
      <c r="G24" s="235"/>
      <c r="H24" s="223"/>
      <c r="I24" s="223"/>
      <c r="J24" s="223"/>
      <c r="K24" s="223"/>
      <c r="L24" s="223"/>
      <c r="M24" s="223"/>
      <c r="N24" s="223"/>
      <c r="O24" s="223"/>
      <c r="P24" s="223"/>
      <c r="Q24" s="223"/>
      <c r="R24" s="223"/>
      <c r="S24" s="223"/>
      <c r="T24" s="223"/>
      <c r="U24" s="223"/>
      <c r="V24" s="223"/>
      <c r="W24" s="223"/>
      <c r="X24" s="223"/>
      <c r="Y24" s="223"/>
      <c r="Z24" s="223"/>
      <c r="AA24" s="223"/>
      <c r="AB24" s="223"/>
      <c r="AC24" s="223"/>
      <c r="AD24" s="236"/>
      <c r="AE24" s="236"/>
      <c r="AF24" s="228"/>
      <c r="AG24" s="237"/>
      <c r="AH24" s="214">
        <f t="shared" si="0"/>
        <v>0</v>
      </c>
      <c r="AI24" s="229"/>
      <c r="AJ24" s="214">
        <f t="shared" si="1"/>
        <v>0</v>
      </c>
      <c r="AK24" s="229"/>
      <c r="AL24" s="214">
        <f t="shared" si="2"/>
        <v>0</v>
      </c>
      <c r="AM24" s="229"/>
      <c r="AN24" s="214">
        <f t="shared" si="3"/>
        <v>0</v>
      </c>
      <c r="AO24" s="228"/>
      <c r="AP24" s="229"/>
      <c r="AQ24" s="228"/>
      <c r="AR24" s="228"/>
      <c r="AS24" s="228"/>
      <c r="AT24" s="228"/>
      <c r="AU24" s="228"/>
      <c r="AV24" s="228"/>
      <c r="AW24" s="228"/>
      <c r="AX24" s="228"/>
      <c r="AY24" s="228"/>
      <c r="AZ24" s="228"/>
      <c r="BA24" s="230"/>
      <c r="BB24" s="238"/>
      <c r="BC24" s="238"/>
      <c r="BD24" s="238"/>
      <c r="BE24" s="238"/>
      <c r="BF24" s="238"/>
    </row>
    <row r="25" spans="2:59" x14ac:dyDescent="0.2">
      <c r="B25" s="232"/>
      <c r="C25" s="233"/>
      <c r="D25" s="223"/>
      <c r="E25" s="223"/>
      <c r="F25" s="234"/>
      <c r="G25" s="235"/>
      <c r="H25" s="223"/>
      <c r="I25" s="224"/>
      <c r="J25" s="223"/>
      <c r="K25" s="223"/>
      <c r="L25" s="223"/>
      <c r="M25" s="223"/>
      <c r="N25" s="223"/>
      <c r="O25" s="223"/>
      <c r="P25" s="223"/>
      <c r="Q25" s="223"/>
      <c r="R25" s="223"/>
      <c r="S25" s="223"/>
      <c r="T25" s="223"/>
      <c r="U25" s="223"/>
      <c r="V25" s="223"/>
      <c r="W25" s="223"/>
      <c r="X25" s="223"/>
      <c r="Y25" s="223"/>
      <c r="Z25" s="223"/>
      <c r="AA25" s="223"/>
      <c r="AB25" s="223"/>
      <c r="AC25" s="223"/>
      <c r="AD25" s="236"/>
      <c r="AE25" s="236"/>
      <c r="AF25" s="228"/>
      <c r="AG25" s="237"/>
      <c r="AH25" s="214">
        <f t="shared" si="0"/>
        <v>0</v>
      </c>
      <c r="AI25" s="229"/>
      <c r="AJ25" s="214">
        <f t="shared" si="1"/>
        <v>0</v>
      </c>
      <c r="AK25" s="229"/>
      <c r="AL25" s="214">
        <f t="shared" si="2"/>
        <v>0</v>
      </c>
      <c r="AM25" s="229"/>
      <c r="AN25" s="214">
        <f t="shared" si="3"/>
        <v>0</v>
      </c>
      <c r="AO25" s="228"/>
      <c r="AP25" s="229"/>
      <c r="AQ25" s="228"/>
      <c r="AR25" s="228"/>
      <c r="AS25" s="228"/>
      <c r="AT25" s="228"/>
      <c r="AU25" s="228"/>
      <c r="AV25" s="228"/>
      <c r="AW25" s="228"/>
      <c r="AX25" s="228"/>
      <c r="AY25" s="228"/>
      <c r="AZ25" s="228"/>
      <c r="BA25" s="230"/>
      <c r="BB25" s="238"/>
      <c r="BC25" s="238"/>
      <c r="BD25" s="238"/>
      <c r="BE25" s="238"/>
      <c r="BF25" s="238"/>
    </row>
    <row r="26" spans="2:59" x14ac:dyDescent="0.2">
      <c r="B26" s="232"/>
      <c r="C26" s="233"/>
      <c r="D26" s="223"/>
      <c r="E26" s="223"/>
      <c r="F26" s="234"/>
      <c r="G26" s="235"/>
      <c r="H26" s="223"/>
      <c r="I26" s="223"/>
      <c r="J26" s="223"/>
      <c r="K26" s="223"/>
      <c r="L26" s="223"/>
      <c r="M26" s="223"/>
      <c r="N26" s="223"/>
      <c r="O26" s="223"/>
      <c r="P26" s="223"/>
      <c r="Q26" s="223"/>
      <c r="R26" s="223"/>
      <c r="S26" s="223"/>
      <c r="T26" s="223"/>
      <c r="U26" s="223"/>
      <c r="V26" s="223"/>
      <c r="W26" s="223"/>
      <c r="X26" s="223"/>
      <c r="Y26" s="223"/>
      <c r="Z26" s="223"/>
      <c r="AA26" s="223"/>
      <c r="AB26" s="223"/>
      <c r="AC26" s="223"/>
      <c r="AD26" s="236"/>
      <c r="AE26" s="236"/>
      <c r="AF26" s="228"/>
      <c r="AG26" s="237"/>
      <c r="AH26" s="214">
        <f t="shared" si="0"/>
        <v>0</v>
      </c>
      <c r="AI26" s="229"/>
      <c r="AJ26" s="214">
        <f t="shared" si="1"/>
        <v>0</v>
      </c>
      <c r="AK26" s="229"/>
      <c r="AL26" s="214">
        <f t="shared" si="2"/>
        <v>0</v>
      </c>
      <c r="AM26" s="229"/>
      <c r="AN26" s="214">
        <f t="shared" si="3"/>
        <v>0</v>
      </c>
      <c r="AO26" s="228"/>
      <c r="AP26" s="229"/>
      <c r="AQ26" s="228"/>
      <c r="AR26" s="228"/>
      <c r="AS26" s="228"/>
      <c r="AT26" s="228"/>
      <c r="AU26" s="228"/>
      <c r="AV26" s="228"/>
      <c r="AW26" s="228"/>
      <c r="AX26" s="228"/>
      <c r="AY26" s="228"/>
      <c r="AZ26" s="228"/>
      <c r="BA26" s="230"/>
      <c r="BB26" s="238"/>
      <c r="BC26" s="238"/>
      <c r="BD26" s="238"/>
      <c r="BE26" s="238"/>
      <c r="BF26" s="238"/>
    </row>
    <row r="27" spans="2:59" x14ac:dyDescent="0.2">
      <c r="B27" s="232"/>
      <c r="C27" s="233"/>
      <c r="D27" s="223"/>
      <c r="E27" s="223"/>
      <c r="F27" s="234"/>
      <c r="G27" s="235"/>
      <c r="H27" s="223"/>
      <c r="I27" s="224"/>
      <c r="J27" s="223"/>
      <c r="K27" s="223"/>
      <c r="L27" s="223"/>
      <c r="M27" s="223"/>
      <c r="N27" s="223"/>
      <c r="O27" s="223"/>
      <c r="P27" s="223"/>
      <c r="Q27" s="223"/>
      <c r="R27" s="223"/>
      <c r="S27" s="223"/>
      <c r="T27" s="223"/>
      <c r="U27" s="223"/>
      <c r="V27" s="223"/>
      <c r="W27" s="223"/>
      <c r="X27" s="223"/>
      <c r="Y27" s="223"/>
      <c r="Z27" s="223"/>
      <c r="AA27" s="223"/>
      <c r="AB27" s="223"/>
      <c r="AC27" s="223"/>
      <c r="AD27" s="236"/>
      <c r="AE27" s="236"/>
      <c r="AF27" s="228"/>
      <c r="AG27" s="237"/>
      <c r="AH27" s="214">
        <f t="shared" si="0"/>
        <v>0</v>
      </c>
      <c r="AI27" s="229"/>
      <c r="AJ27" s="214">
        <f t="shared" si="1"/>
        <v>0</v>
      </c>
      <c r="AK27" s="229"/>
      <c r="AL27" s="214">
        <f t="shared" si="2"/>
        <v>0</v>
      </c>
      <c r="AM27" s="229"/>
      <c r="AN27" s="214">
        <f t="shared" si="3"/>
        <v>0</v>
      </c>
      <c r="AO27" s="228"/>
      <c r="AP27" s="229"/>
      <c r="AQ27" s="228"/>
      <c r="AR27" s="228"/>
      <c r="AS27" s="228"/>
      <c r="AT27" s="228"/>
      <c r="AU27" s="228"/>
      <c r="AV27" s="228"/>
      <c r="AW27" s="228"/>
      <c r="AX27" s="228"/>
      <c r="AY27" s="228"/>
      <c r="AZ27" s="228"/>
      <c r="BA27" s="230"/>
      <c r="BB27" s="238"/>
      <c r="BC27" s="238"/>
      <c r="BD27" s="238"/>
      <c r="BE27" s="238"/>
      <c r="BF27" s="238"/>
    </row>
    <row r="28" spans="2:59" x14ac:dyDescent="0.2">
      <c r="B28" s="232"/>
      <c r="C28" s="233"/>
      <c r="D28" s="223"/>
      <c r="E28" s="223"/>
      <c r="F28" s="234"/>
      <c r="G28" s="239"/>
      <c r="H28" s="223"/>
      <c r="I28" s="223"/>
      <c r="J28" s="223"/>
      <c r="K28" s="223"/>
      <c r="L28" s="223"/>
      <c r="M28" s="223"/>
      <c r="N28" s="223"/>
      <c r="O28" s="223"/>
      <c r="P28" s="223"/>
      <c r="Q28" s="223"/>
      <c r="R28" s="223"/>
      <c r="S28" s="223"/>
      <c r="T28" s="223"/>
      <c r="U28" s="223"/>
      <c r="V28" s="223"/>
      <c r="W28" s="223"/>
      <c r="X28" s="223"/>
      <c r="Y28" s="223"/>
      <c r="Z28" s="223"/>
      <c r="AA28" s="223"/>
      <c r="AB28" s="223"/>
      <c r="AC28" s="223"/>
      <c r="AD28" s="236"/>
      <c r="AE28" s="236"/>
      <c r="AF28" s="228"/>
      <c r="AG28" s="237"/>
      <c r="AH28" s="214">
        <f t="shared" si="0"/>
        <v>0</v>
      </c>
      <c r="AI28" s="229"/>
      <c r="AJ28" s="214">
        <f t="shared" si="1"/>
        <v>0</v>
      </c>
      <c r="AK28" s="229"/>
      <c r="AL28" s="214">
        <f t="shared" si="2"/>
        <v>0</v>
      </c>
      <c r="AM28" s="229"/>
      <c r="AN28" s="214">
        <f t="shared" si="3"/>
        <v>0</v>
      </c>
      <c r="AO28" s="228"/>
      <c r="AP28" s="229"/>
      <c r="AQ28" s="228"/>
      <c r="AR28" s="228"/>
      <c r="AS28" s="228"/>
      <c r="AT28" s="228"/>
      <c r="AU28" s="228"/>
      <c r="AV28" s="228"/>
      <c r="AW28" s="228"/>
      <c r="AX28" s="228"/>
      <c r="AY28" s="228"/>
      <c r="AZ28" s="228"/>
      <c r="BA28" s="230"/>
      <c r="BB28" s="238"/>
      <c r="BC28" s="238"/>
      <c r="BD28" s="238"/>
      <c r="BE28" s="238"/>
      <c r="BF28" s="238"/>
    </row>
    <row r="29" spans="2:59" x14ac:dyDescent="0.2">
      <c r="B29" s="232"/>
      <c r="C29" s="233"/>
      <c r="D29" s="223"/>
      <c r="E29" s="223"/>
      <c r="F29" s="234"/>
      <c r="G29" s="235"/>
      <c r="H29" s="223"/>
      <c r="I29" s="224"/>
      <c r="J29" s="223"/>
      <c r="K29" s="223"/>
      <c r="L29" s="223"/>
      <c r="M29" s="223"/>
      <c r="N29" s="223"/>
      <c r="O29" s="223"/>
      <c r="P29" s="223"/>
      <c r="Q29" s="223"/>
      <c r="R29" s="223"/>
      <c r="S29" s="223"/>
      <c r="T29" s="223"/>
      <c r="U29" s="223"/>
      <c r="V29" s="223"/>
      <c r="W29" s="223"/>
      <c r="X29" s="223"/>
      <c r="Y29" s="223"/>
      <c r="Z29" s="223"/>
      <c r="AA29" s="223"/>
      <c r="AB29" s="223"/>
      <c r="AC29" s="223"/>
      <c r="AD29" s="236"/>
      <c r="AE29" s="236"/>
      <c r="AF29" s="228"/>
      <c r="AG29" s="237"/>
      <c r="AH29" s="214">
        <f t="shared" si="0"/>
        <v>0</v>
      </c>
      <c r="AI29" s="229"/>
      <c r="AJ29" s="214">
        <f t="shared" si="1"/>
        <v>0</v>
      </c>
      <c r="AK29" s="229"/>
      <c r="AL29" s="214">
        <f t="shared" si="2"/>
        <v>0</v>
      </c>
      <c r="AM29" s="229"/>
      <c r="AN29" s="214">
        <f t="shared" si="3"/>
        <v>0</v>
      </c>
      <c r="AO29" s="228"/>
      <c r="AP29" s="229"/>
      <c r="AQ29" s="228"/>
      <c r="AR29" s="228"/>
      <c r="AS29" s="228"/>
      <c r="AT29" s="228"/>
      <c r="AU29" s="228"/>
      <c r="AV29" s="228"/>
      <c r="AW29" s="228"/>
      <c r="AX29" s="228"/>
      <c r="AY29" s="228"/>
      <c r="AZ29" s="228"/>
      <c r="BA29" s="230"/>
      <c r="BB29" s="238"/>
      <c r="BC29" s="238"/>
      <c r="BD29" s="238"/>
      <c r="BE29" s="238"/>
      <c r="BF29" s="238"/>
    </row>
    <row r="30" spans="2:59" s="198" customFormat="1" x14ac:dyDescent="0.2">
      <c r="B30" s="240" t="s">
        <v>168</v>
      </c>
      <c r="C30" s="241" t="s">
        <v>169</v>
      </c>
      <c r="D30" s="242"/>
      <c r="E30" s="242"/>
      <c r="F30" s="243"/>
      <c r="G30" s="244"/>
      <c r="H30" s="242"/>
      <c r="I30" s="242"/>
      <c r="J30" s="242"/>
      <c r="K30" s="242"/>
      <c r="L30" s="242"/>
      <c r="M30" s="242"/>
      <c r="N30" s="242"/>
      <c r="O30" s="242"/>
      <c r="P30" s="242"/>
      <c r="Q30" s="242"/>
      <c r="R30" s="242"/>
      <c r="S30" s="242"/>
      <c r="T30" s="242"/>
      <c r="U30" s="242"/>
      <c r="V30" s="242"/>
      <c r="W30" s="242"/>
      <c r="X30" s="242"/>
      <c r="Y30" s="242"/>
      <c r="Z30" s="242"/>
      <c r="AA30" s="242"/>
      <c r="AB30" s="242"/>
      <c r="AC30" s="242"/>
      <c r="AD30" s="245">
        <f>SUMIF($B:$B,"FY14-15",$AD:$AD)</f>
        <v>0</v>
      </c>
      <c r="AE30" s="245">
        <f>SUMIF($B:$B,"FY14-15",$AE:$AE)</f>
        <v>0</v>
      </c>
      <c r="AF30" s="245"/>
      <c r="AG30" s="245"/>
      <c r="AH30" s="245">
        <f>SUMIF($B:$B,"FY14-15",$AH:$AH)</f>
        <v>0</v>
      </c>
      <c r="AI30" s="245"/>
      <c r="AJ30" s="245">
        <f>SUMIF($B:$B,"FY14-15",$AJ:$AJ)</f>
        <v>0</v>
      </c>
      <c r="AK30" s="245"/>
      <c r="AL30" s="245">
        <f>SUMIF($B:$B,"FY14-15",$AL:$AL)</f>
        <v>0</v>
      </c>
      <c r="AM30" s="245"/>
      <c r="AN30" s="245">
        <f>SUMIF($B:$B,"FY14-15",$AN:$AN)</f>
        <v>0</v>
      </c>
      <c r="AO30" s="245">
        <f t="shared" ref="AO30:AU30" si="4">SUM(AO7:AO29)</f>
        <v>0</v>
      </c>
      <c r="AP30" s="245">
        <f t="shared" si="4"/>
        <v>0</v>
      </c>
      <c r="AQ30" s="245">
        <f t="shared" si="4"/>
        <v>0</v>
      </c>
      <c r="AR30" s="245">
        <f t="shared" si="4"/>
        <v>0</v>
      </c>
      <c r="AS30" s="245">
        <f t="shared" si="4"/>
        <v>0</v>
      </c>
      <c r="AT30" s="245">
        <f t="shared" si="4"/>
        <v>0</v>
      </c>
      <c r="AU30" s="245">
        <f t="shared" si="4"/>
        <v>0</v>
      </c>
      <c r="AV30" s="245">
        <f>SUMIF($B:$B,"FY14-15",$AV:$AV)</f>
        <v>0</v>
      </c>
      <c r="AW30" s="245">
        <f>SUMIF($B:$B,"FY14-15",$AW:$AW)</f>
        <v>0</v>
      </c>
      <c r="AX30" s="245">
        <f>SUMIF($B:$B,"FY14-15",$AX:$AX)</f>
        <v>0</v>
      </c>
      <c r="AY30" s="245">
        <f>SUMIF($B:$B,"FY14-15",$AY:$AY)</f>
        <v>0</v>
      </c>
      <c r="AZ30" s="245">
        <f>SUMIF($B:$B,"FY14-15",$AZ:$AZ)</f>
        <v>0</v>
      </c>
      <c r="BA30" s="246"/>
      <c r="BB30" s="247"/>
      <c r="BC30" s="247"/>
      <c r="BD30" s="247"/>
      <c r="BE30" s="247"/>
      <c r="BF30" s="247"/>
      <c r="BG30" s="247"/>
    </row>
    <row r="31" spans="2:59" s="198" customFormat="1" x14ac:dyDescent="0.2">
      <c r="B31" s="240" t="s">
        <v>170</v>
      </c>
      <c r="C31" s="241" t="s">
        <v>169</v>
      </c>
      <c r="D31" s="242"/>
      <c r="E31" s="242"/>
      <c r="F31" s="243"/>
      <c r="G31" s="244"/>
      <c r="H31" s="242"/>
      <c r="I31" s="242"/>
      <c r="J31" s="242"/>
      <c r="K31" s="242"/>
      <c r="L31" s="242"/>
      <c r="M31" s="242"/>
      <c r="N31" s="242"/>
      <c r="O31" s="242"/>
      <c r="P31" s="242"/>
      <c r="Q31" s="242"/>
      <c r="R31" s="242"/>
      <c r="S31" s="242"/>
      <c r="T31" s="242"/>
      <c r="U31" s="242"/>
      <c r="V31" s="242"/>
      <c r="W31" s="242"/>
      <c r="X31" s="242"/>
      <c r="Y31" s="242"/>
      <c r="Z31" s="242"/>
      <c r="AA31" s="242"/>
      <c r="AB31" s="242"/>
      <c r="AC31" s="242"/>
      <c r="AD31" s="245">
        <f>SUMIF($B:$B,"FY15-16",$AD:$AD)</f>
        <v>0</v>
      </c>
      <c r="AE31" s="245">
        <f>SUMIF($B:$B,"FY15-16",$AE:$AE)</f>
        <v>0</v>
      </c>
      <c r="AF31" s="242"/>
      <c r="AG31" s="248"/>
      <c r="AH31" s="245">
        <f>SUMIF($B:$B,"FY15-16",$AH:$AH)</f>
        <v>0</v>
      </c>
      <c r="AI31" s="242"/>
      <c r="AJ31" s="245">
        <f>SUMIF($B:$B,"FY15-16",$AJ:$AJ)</f>
        <v>0</v>
      </c>
      <c r="AK31" s="242"/>
      <c r="AL31" s="245">
        <f>SUMIF($B:$B,"FY15-16",$AL:$AL)</f>
        <v>0</v>
      </c>
      <c r="AM31" s="242"/>
      <c r="AN31" s="245">
        <f>SUMIF($B:$B,"FY15-16",$AJ:$AJ)</f>
        <v>0</v>
      </c>
      <c r="AO31" s="249"/>
      <c r="AP31" s="249"/>
      <c r="AQ31" s="249"/>
      <c r="AR31" s="249"/>
      <c r="AS31" s="249"/>
      <c r="AT31" s="249"/>
      <c r="AU31" s="249"/>
      <c r="AV31" s="245">
        <f>SUMIF($B:$B,"FY15-16",$AV:$AV)</f>
        <v>0</v>
      </c>
      <c r="AW31" s="245">
        <f>SUMIF($B:$B,"FY15-16",$AW:$AW)</f>
        <v>0</v>
      </c>
      <c r="AX31" s="245">
        <f>SUMIF($B:$B,"FY15-16",$AX:$AX)</f>
        <v>0</v>
      </c>
      <c r="AY31" s="245">
        <f>SUMIF($B:$B,"FY15-16",$AY:$AY)</f>
        <v>0</v>
      </c>
      <c r="AZ31" s="245">
        <f>SUMIF($B:$B,"FY15-16",$AZ:$AZ)</f>
        <v>0</v>
      </c>
      <c r="BA31" s="246"/>
      <c r="BB31" s="247"/>
      <c r="BC31" s="247"/>
      <c r="BD31" s="247"/>
      <c r="BE31" s="247"/>
      <c r="BF31" s="247"/>
      <c r="BG31" s="247"/>
    </row>
    <row r="32" spans="2:59" x14ac:dyDescent="0.2">
      <c r="C32" s="250"/>
      <c r="D32" s="216"/>
      <c r="E32" s="216"/>
      <c r="F32" s="251"/>
      <c r="G32" s="195"/>
      <c r="H32" s="216"/>
      <c r="I32" s="216"/>
      <c r="J32" s="216"/>
      <c r="K32" s="216"/>
      <c r="L32" s="216"/>
      <c r="M32" s="216"/>
      <c r="N32" s="216"/>
      <c r="O32" s="216"/>
      <c r="P32" s="216"/>
      <c r="Q32" s="216"/>
      <c r="R32" s="216"/>
      <c r="S32" s="216"/>
      <c r="T32" s="216"/>
      <c r="U32" s="216"/>
      <c r="V32" s="216"/>
      <c r="W32" s="216"/>
      <c r="X32" s="216"/>
      <c r="Y32" s="216"/>
      <c r="Z32" s="216"/>
      <c r="AA32" s="216"/>
      <c r="AB32" s="216"/>
      <c r="AC32" s="216"/>
      <c r="AD32" s="252"/>
      <c r="AE32" s="252"/>
      <c r="AF32" s="253"/>
      <c r="AG32" s="254"/>
      <c r="AH32" s="253"/>
      <c r="AI32" s="253"/>
      <c r="AJ32" s="253"/>
      <c r="AK32" s="253"/>
      <c r="AL32" s="253"/>
      <c r="AM32" s="253"/>
      <c r="AN32" s="253"/>
      <c r="AO32" s="253"/>
      <c r="AP32" s="253"/>
      <c r="AQ32" s="253"/>
      <c r="AR32" s="253"/>
      <c r="AS32" s="253"/>
      <c r="AT32" s="253"/>
      <c r="AU32" s="253"/>
      <c r="AV32" s="253"/>
      <c r="AW32" s="253"/>
      <c r="AX32" s="253"/>
      <c r="AY32" s="253"/>
      <c r="AZ32" s="253"/>
    </row>
    <row r="34" spans="3:52" s="255" customFormat="1" ht="17.100000000000001" customHeight="1" x14ac:dyDescent="0.2">
      <c r="C34" s="1113" t="s">
        <v>171</v>
      </c>
      <c r="D34" s="1113"/>
      <c r="E34" s="1113"/>
      <c r="F34" s="1113"/>
      <c r="G34" s="1113"/>
      <c r="H34" s="1113"/>
      <c r="I34" s="1113"/>
      <c r="J34" s="1113"/>
      <c r="K34" s="1113"/>
      <c r="L34" s="1113"/>
      <c r="M34" s="1113"/>
      <c r="N34" s="1113"/>
      <c r="O34" s="1113"/>
      <c r="P34" s="1113"/>
    </row>
    <row r="35" spans="3:52" ht="17.100000000000001" customHeight="1" x14ac:dyDescent="0.2">
      <c r="C35" s="190" t="s">
        <v>172</v>
      </c>
      <c r="D35" s="192"/>
      <c r="E35" s="192"/>
      <c r="F35" s="192"/>
      <c r="G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row>
    <row r="36" spans="3:52" ht="17.100000000000001" customHeight="1" x14ac:dyDescent="0.2">
      <c r="C36" s="190" t="s">
        <v>173</v>
      </c>
      <c r="D36" s="192"/>
      <c r="E36" s="192"/>
      <c r="F36" s="192"/>
      <c r="G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row>
    <row r="37" spans="3:52" ht="17.100000000000001" customHeight="1" x14ac:dyDescent="0.2">
      <c r="C37" s="190" t="s">
        <v>174</v>
      </c>
      <c r="D37" s="192"/>
      <c r="E37" s="192"/>
      <c r="F37" s="192"/>
      <c r="G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row>
    <row r="38" spans="3:52" s="255" customFormat="1" ht="17.100000000000001" customHeight="1" x14ac:dyDescent="0.2">
      <c r="C38" s="256" t="s">
        <v>175</v>
      </c>
      <c r="D38" s="256"/>
      <c r="E38" s="256"/>
      <c r="F38" s="256"/>
      <c r="G38" s="256"/>
      <c r="H38" s="256"/>
      <c r="I38" s="256"/>
      <c r="J38" s="256"/>
      <c r="K38" s="256"/>
      <c r="L38" s="256"/>
      <c r="M38" s="256"/>
      <c r="N38" s="256"/>
      <c r="O38" s="256"/>
      <c r="P38" s="256"/>
    </row>
    <row r="39" spans="3:52" ht="17.100000000000001" customHeight="1" x14ac:dyDescent="0.2">
      <c r="C39" s="190" t="s">
        <v>176</v>
      </c>
      <c r="D39" s="192"/>
      <c r="E39" s="192"/>
      <c r="F39" s="192"/>
      <c r="G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row>
    <row r="40" spans="3:52" x14ac:dyDescent="0.2">
      <c r="C40" s="190"/>
      <c r="D40" s="192"/>
      <c r="E40" s="192"/>
      <c r="F40" s="192"/>
      <c r="G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row>
    <row r="41" spans="3:52" ht="17.100000000000001" customHeight="1" x14ac:dyDescent="0.2">
      <c r="C41" s="198" t="s">
        <v>177</v>
      </c>
      <c r="D41" s="192"/>
      <c r="E41" s="192"/>
      <c r="F41" s="192"/>
      <c r="G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row>
    <row r="42" spans="3:52" ht="17.100000000000001" customHeight="1" x14ac:dyDescent="0.2">
      <c r="C42" s="198" t="s">
        <v>178</v>
      </c>
      <c r="D42" s="192"/>
      <c r="E42" s="192"/>
      <c r="F42" s="192"/>
      <c r="G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row>
    <row r="43" spans="3:52" ht="17.100000000000001" customHeight="1" x14ac:dyDescent="0.2">
      <c r="C43" s="198" t="s">
        <v>179</v>
      </c>
      <c r="D43" s="192"/>
      <c r="E43" s="192"/>
      <c r="F43" s="192"/>
      <c r="G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row>
    <row r="44" spans="3:52" ht="17.100000000000001" customHeight="1" x14ac:dyDescent="0.2">
      <c r="C44" s="198" t="s">
        <v>180</v>
      </c>
      <c r="D44" s="192"/>
      <c r="E44" s="192"/>
      <c r="F44" s="192"/>
      <c r="G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row>
    <row r="45" spans="3:52" ht="17.100000000000001" customHeight="1" x14ac:dyDescent="0.2">
      <c r="C45" s="198" t="s">
        <v>181</v>
      </c>
      <c r="D45" s="192"/>
      <c r="E45" s="192"/>
      <c r="F45" s="192"/>
      <c r="G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row>
    <row r="46" spans="3:52" ht="17.100000000000001" customHeight="1" x14ac:dyDescent="0.2">
      <c r="C46" s="198" t="s">
        <v>182</v>
      </c>
      <c r="D46" s="192"/>
      <c r="E46" s="192"/>
      <c r="F46" s="192"/>
      <c r="G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row>
    <row r="47" spans="3:52" ht="17.100000000000001" customHeight="1" x14ac:dyDescent="0.2">
      <c r="C47" s="198" t="s">
        <v>183</v>
      </c>
      <c r="D47" s="192"/>
      <c r="E47" s="192"/>
      <c r="F47" s="192"/>
      <c r="G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row>
    <row r="48" spans="3:52" ht="17.100000000000001" customHeight="1" x14ac:dyDescent="0.2">
      <c r="C48" s="198" t="s">
        <v>184</v>
      </c>
      <c r="D48" s="192"/>
      <c r="E48" s="192"/>
      <c r="F48" s="192"/>
      <c r="G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row>
    <row r="49" spans="3:52" ht="17.100000000000001" customHeight="1" x14ac:dyDescent="0.2">
      <c r="C49" s="198" t="s">
        <v>185</v>
      </c>
      <c r="D49" s="192"/>
      <c r="E49" s="192"/>
      <c r="F49" s="192"/>
      <c r="G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row>
    <row r="50" spans="3:52" ht="17.100000000000001" customHeight="1" x14ac:dyDescent="0.2">
      <c r="C50" s="198" t="s">
        <v>186</v>
      </c>
      <c r="D50" s="192"/>
      <c r="E50" s="192"/>
      <c r="F50" s="192"/>
      <c r="G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row>
  </sheetData>
  <mergeCells count="3">
    <mergeCell ref="C5:I5"/>
    <mergeCell ref="J5:P5"/>
    <mergeCell ref="C34:P34"/>
  </mergeCells>
  <pageMargins left="0.17" right="0.16" top="0.42" bottom="0.31" header="7.2911220195948004E-303" footer="3.6163965724376999E-301"/>
  <pageSetup scale="55" firstPageNumber="0" fitToHeight="0" orientation="landscape" horizontalDpi="157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N24"/>
  <sheetViews>
    <sheetView showRuler="0" view="pageBreakPreview" zoomScale="60" zoomScaleNormal="100" workbookViewId="0">
      <selection activeCell="F9" sqref="F9"/>
    </sheetView>
  </sheetViews>
  <sheetFormatPr defaultColWidth="9.140625" defaultRowHeight="12.75" x14ac:dyDescent="0.2"/>
  <cols>
    <col min="1" max="1" width="6.5703125" style="262" customWidth="1"/>
    <col min="2" max="2" width="17.5703125" style="262" customWidth="1"/>
    <col min="3" max="3" width="44.28515625" style="262" customWidth="1"/>
    <col min="4" max="4" width="1.140625" style="263" customWidth="1"/>
    <col min="5" max="5" width="14.7109375" style="262" customWidth="1"/>
    <col min="6" max="6" width="11.140625" style="262" customWidth="1"/>
    <col min="7" max="7" width="0.85546875" style="263" customWidth="1"/>
    <col min="8" max="8" width="14.7109375" style="262" customWidth="1"/>
    <col min="9" max="9" width="11.28515625" style="262" customWidth="1"/>
    <col min="10" max="10" width="16.42578125" style="262" customWidth="1"/>
    <col min="11" max="11" width="0.85546875" style="263" customWidth="1"/>
    <col min="12" max="12" width="14.7109375" style="262" customWidth="1"/>
    <col min="13" max="13" width="12" style="262" bestFit="1" customWidth="1"/>
    <col min="14" max="14" width="16.7109375" style="262" customWidth="1"/>
    <col min="15" max="16384" width="9.140625" style="262"/>
  </cols>
  <sheetData>
    <row r="1" spans="2:14" ht="22.5" customHeight="1" x14ac:dyDescent="0.2"/>
    <row r="2" spans="2:14" ht="21" customHeight="1" x14ac:dyDescent="0.25">
      <c r="B2" s="261" t="s">
        <v>187</v>
      </c>
    </row>
    <row r="3" spans="2:14" ht="20.25" customHeight="1" x14ac:dyDescent="0.2">
      <c r="B3" s="174" t="s">
        <v>1</v>
      </c>
    </row>
    <row r="4" spans="2:14" ht="14.25" x14ac:dyDescent="0.2">
      <c r="B4" s="174"/>
    </row>
    <row r="5" spans="2:14" ht="15" thickBot="1" x14ac:dyDescent="0.25">
      <c r="B5" s="174"/>
    </row>
    <row r="6" spans="2:14" ht="23.25" customHeight="1" thickBot="1" x14ac:dyDescent="0.25">
      <c r="D6" s="264"/>
      <c r="E6" s="1114" t="s">
        <v>188</v>
      </c>
      <c r="F6" s="1115"/>
      <c r="G6" s="264"/>
      <c r="H6" s="1114" t="s">
        <v>189</v>
      </c>
      <c r="I6" s="1116"/>
      <c r="J6" s="1115"/>
      <c r="K6" s="264"/>
      <c r="L6" s="1114" t="s">
        <v>190</v>
      </c>
      <c r="M6" s="1116"/>
      <c r="N6" s="1115"/>
    </row>
    <row r="7" spans="2:14" s="270" customFormat="1" ht="39" thickBot="1" x14ac:dyDescent="0.3">
      <c r="B7" s="265" t="s">
        <v>191</v>
      </c>
      <c r="C7" s="265" t="s">
        <v>192</v>
      </c>
      <c r="D7" s="266"/>
      <c r="E7" s="267" t="s">
        <v>142</v>
      </c>
      <c r="F7" s="268" t="s">
        <v>193</v>
      </c>
      <c r="G7" s="266"/>
      <c r="H7" s="267" t="s">
        <v>142</v>
      </c>
      <c r="I7" s="269" t="s">
        <v>193</v>
      </c>
      <c r="J7" s="268" t="s">
        <v>194</v>
      </c>
      <c r="K7" s="266"/>
      <c r="L7" s="267" t="s">
        <v>142</v>
      </c>
      <c r="M7" s="269" t="s">
        <v>193</v>
      </c>
      <c r="N7" s="268" t="s">
        <v>194</v>
      </c>
    </row>
    <row r="8" spans="2:14" ht="38.25" x14ac:dyDescent="0.2">
      <c r="B8" s="271" t="s">
        <v>195</v>
      </c>
      <c r="C8" s="272" t="s">
        <v>196</v>
      </c>
      <c r="D8" s="273"/>
      <c r="E8" s="274" t="s">
        <v>164</v>
      </c>
      <c r="F8" s="275">
        <v>1257000</v>
      </c>
      <c r="G8" s="276"/>
      <c r="H8" s="274" t="s">
        <v>164</v>
      </c>
      <c r="I8" s="277">
        <v>1257000</v>
      </c>
      <c r="J8" s="278" t="s">
        <v>105</v>
      </c>
      <c r="K8" s="276"/>
      <c r="L8" s="274" t="s">
        <v>164</v>
      </c>
      <c r="M8" s="277">
        <v>1257000</v>
      </c>
      <c r="N8" s="278" t="s">
        <v>105</v>
      </c>
    </row>
    <row r="9" spans="2:14" ht="30" customHeight="1" x14ac:dyDescent="0.2">
      <c r="B9" s="279"/>
      <c r="C9" s="280"/>
      <c r="D9" s="281"/>
      <c r="E9" s="282"/>
      <c r="F9" s="283"/>
      <c r="G9" s="273"/>
      <c r="H9" s="282"/>
      <c r="I9" s="284"/>
      <c r="J9" s="285"/>
      <c r="K9" s="273"/>
      <c r="L9" s="282"/>
      <c r="M9" s="284"/>
      <c r="N9" s="285"/>
    </row>
    <row r="10" spans="2:14" ht="30" customHeight="1" x14ac:dyDescent="0.2">
      <c r="B10" s="286"/>
      <c r="C10" s="287"/>
      <c r="D10" s="281"/>
      <c r="E10" s="288"/>
      <c r="F10" s="289"/>
      <c r="G10" s="273"/>
      <c r="H10" s="290"/>
      <c r="I10" s="42"/>
      <c r="J10" s="291"/>
      <c r="K10" s="273"/>
      <c r="L10" s="290"/>
      <c r="M10" s="42"/>
      <c r="N10" s="291"/>
    </row>
    <row r="11" spans="2:14" ht="30" customHeight="1" x14ac:dyDescent="0.2">
      <c r="B11" s="286"/>
      <c r="C11" s="287"/>
      <c r="D11" s="281"/>
      <c r="E11" s="288"/>
      <c r="F11" s="289"/>
      <c r="G11" s="273"/>
      <c r="H11" s="290"/>
      <c r="I11" s="42"/>
      <c r="J11" s="291"/>
      <c r="K11" s="273"/>
      <c r="L11" s="290"/>
      <c r="M11" s="42"/>
      <c r="N11" s="291"/>
    </row>
    <row r="12" spans="2:14" ht="30" customHeight="1" x14ac:dyDescent="0.2">
      <c r="B12" s="286"/>
      <c r="C12" s="287"/>
      <c r="D12" s="281"/>
      <c r="E12" s="288"/>
      <c r="F12" s="289"/>
      <c r="G12" s="273"/>
      <c r="H12" s="290"/>
      <c r="I12" s="42"/>
      <c r="J12" s="291"/>
      <c r="K12" s="273"/>
      <c r="L12" s="290"/>
      <c r="M12" s="42"/>
      <c r="N12" s="291"/>
    </row>
    <row r="13" spans="2:14" ht="30" customHeight="1" x14ac:dyDescent="0.2">
      <c r="B13" s="286"/>
      <c r="C13" s="287"/>
      <c r="D13" s="281"/>
      <c r="E13" s="288"/>
      <c r="F13" s="289"/>
      <c r="G13" s="273"/>
      <c r="H13" s="290"/>
      <c r="I13" s="42"/>
      <c r="J13" s="291"/>
      <c r="K13" s="273"/>
      <c r="L13" s="290"/>
      <c r="M13" s="42"/>
      <c r="N13" s="291"/>
    </row>
    <row r="14" spans="2:14" ht="30" customHeight="1" x14ac:dyDescent="0.2">
      <c r="B14" s="286"/>
      <c r="C14" s="287"/>
      <c r="D14" s="281"/>
      <c r="E14" s="288"/>
      <c r="F14" s="289"/>
      <c r="G14" s="273"/>
      <c r="H14" s="290"/>
      <c r="I14" s="42"/>
      <c r="J14" s="291"/>
      <c r="K14" s="273"/>
      <c r="L14" s="290"/>
      <c r="M14" s="42"/>
      <c r="N14" s="291"/>
    </row>
    <row r="15" spans="2:14" ht="30" customHeight="1" x14ac:dyDescent="0.2">
      <c r="B15" s="286"/>
      <c r="C15" s="287"/>
      <c r="D15" s="281"/>
      <c r="E15" s="288"/>
      <c r="F15" s="289"/>
      <c r="G15" s="273"/>
      <c r="H15" s="290"/>
      <c r="I15" s="42"/>
      <c r="J15" s="291"/>
      <c r="K15" s="273"/>
      <c r="L15" s="290"/>
      <c r="M15" s="42"/>
      <c r="N15" s="291"/>
    </row>
    <row r="16" spans="2:14" ht="30" customHeight="1" x14ac:dyDescent="0.2">
      <c r="B16" s="286"/>
      <c r="C16" s="287"/>
      <c r="D16" s="281"/>
      <c r="E16" s="288"/>
      <c r="F16" s="289"/>
      <c r="G16" s="273"/>
      <c r="H16" s="290"/>
      <c r="I16" s="42"/>
      <c r="J16" s="291"/>
      <c r="K16" s="273"/>
      <c r="L16" s="290"/>
      <c r="M16" s="42"/>
      <c r="N16" s="291"/>
    </row>
    <row r="17" spans="2:14" ht="30" customHeight="1" x14ac:dyDescent="0.2">
      <c r="B17" s="286"/>
      <c r="C17" s="287"/>
      <c r="D17" s="281"/>
      <c r="E17" s="288"/>
      <c r="F17" s="289"/>
      <c r="G17" s="273"/>
      <c r="H17" s="290"/>
      <c r="I17" s="42"/>
      <c r="J17" s="291"/>
      <c r="K17" s="273"/>
      <c r="L17" s="290"/>
      <c r="M17" s="42"/>
      <c r="N17" s="291"/>
    </row>
    <row r="18" spans="2:14" ht="30" customHeight="1" x14ac:dyDescent="0.2">
      <c r="B18" s="286"/>
      <c r="C18" s="287"/>
      <c r="D18" s="281"/>
      <c r="E18" s="288"/>
      <c r="F18" s="289"/>
      <c r="G18" s="273"/>
      <c r="H18" s="290"/>
      <c r="I18" s="42"/>
      <c r="J18" s="291"/>
      <c r="K18" s="273"/>
      <c r="L18" s="290"/>
      <c r="M18" s="42"/>
      <c r="N18" s="291"/>
    </row>
    <row r="19" spans="2:14" ht="16.5" thickBot="1" x14ac:dyDescent="0.3">
      <c r="B19" s="292" t="s">
        <v>169</v>
      </c>
      <c r="C19" s="293"/>
      <c r="D19" s="273"/>
      <c r="E19" s="294"/>
      <c r="F19" s="295">
        <f>SUM(F9:F18)</f>
        <v>0</v>
      </c>
      <c r="G19" s="273"/>
      <c r="H19" s="296"/>
      <c r="I19" s="297">
        <f>SUM(I9:I18)</f>
        <v>0</v>
      </c>
      <c r="J19" s="298"/>
      <c r="K19" s="273"/>
      <c r="L19" s="296"/>
      <c r="M19" s="297">
        <f>SUM(M9:M18)</f>
        <v>0</v>
      </c>
      <c r="N19" s="298"/>
    </row>
    <row r="20" spans="2:14" ht="6" customHeight="1" x14ac:dyDescent="0.2"/>
    <row r="21" spans="2:14" x14ac:dyDescent="0.2">
      <c r="B21" s="299" t="s">
        <v>197</v>
      </c>
    </row>
    <row r="22" spans="2:14" x14ac:dyDescent="0.2">
      <c r="B22" s="262" t="s">
        <v>198</v>
      </c>
    </row>
    <row r="23" spans="2:14" x14ac:dyDescent="0.2">
      <c r="B23" s="262" t="s">
        <v>199</v>
      </c>
    </row>
    <row r="24" spans="2:14" x14ac:dyDescent="0.2">
      <c r="B24" s="262" t="s">
        <v>200</v>
      </c>
    </row>
  </sheetData>
  <mergeCells count="3">
    <mergeCell ref="E6:F6"/>
    <mergeCell ref="H6:J6"/>
    <mergeCell ref="L6:N6"/>
  </mergeCells>
  <printOptions horizontalCentered="1"/>
  <pageMargins left="0.28999999999999998" right="0.28999999999999998" top="0.28999999999999998" bottom="0.3" header="0.21" footer="0.17"/>
  <pageSetup scale="7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8"/>
  <sheetViews>
    <sheetView showGridLines="0" view="pageBreakPreview" zoomScale="75" zoomScaleNormal="100" zoomScaleSheetLayoutView="75" workbookViewId="0">
      <selection activeCell="E22" sqref="E22"/>
    </sheetView>
  </sheetViews>
  <sheetFormatPr defaultColWidth="9.140625" defaultRowHeight="12.75" x14ac:dyDescent="0.2"/>
  <cols>
    <col min="1" max="1" width="4.5703125" style="55" customWidth="1"/>
    <col min="2" max="2" width="9" style="55" customWidth="1"/>
    <col min="3" max="3" width="10.140625" style="55" customWidth="1"/>
    <col min="4" max="4" width="14.140625" style="55" customWidth="1"/>
    <col min="5" max="5" width="27.140625" style="55" customWidth="1"/>
    <col min="6" max="6" width="12.28515625" style="55" customWidth="1"/>
    <col min="7" max="7" width="18.7109375" style="55" customWidth="1"/>
    <col min="8" max="8" width="18" style="55" customWidth="1"/>
    <col min="9" max="9" width="22" style="55" customWidth="1"/>
    <col min="10" max="11" width="10.85546875" style="55" customWidth="1"/>
    <col min="12" max="12" width="14.42578125" style="55" customWidth="1"/>
    <col min="13" max="13" width="14.7109375" style="55" customWidth="1"/>
    <col min="14" max="14" width="17.42578125" style="55" customWidth="1"/>
    <col min="15" max="15" width="27.140625" style="55" customWidth="1"/>
    <col min="16" max="16" width="40.85546875" style="55" customWidth="1"/>
    <col min="17" max="16384" width="9.140625" style="55"/>
  </cols>
  <sheetData>
    <row r="1" spans="2:14" ht="17.25" customHeight="1" x14ac:dyDescent="0.2"/>
    <row r="2" spans="2:14" ht="18" x14ac:dyDescent="0.2">
      <c r="B2" s="1" t="s">
        <v>201</v>
      </c>
      <c r="C2" s="300"/>
    </row>
    <row r="3" spans="2:14" ht="15" x14ac:dyDescent="0.2">
      <c r="B3" s="882" t="s">
        <v>759</v>
      </c>
      <c r="C3" s="301"/>
    </row>
    <row r="4" spans="2:14" ht="14.25" x14ac:dyDescent="0.2">
      <c r="B4" s="7"/>
      <c r="C4" s="7"/>
      <c r="D4" s="3"/>
      <c r="E4" s="3"/>
      <c r="F4" s="3"/>
      <c r="G4" s="3"/>
      <c r="H4" s="3"/>
      <c r="I4" s="3"/>
      <c r="J4" s="3"/>
      <c r="K4" s="3"/>
      <c r="L4" s="3"/>
      <c r="M4" s="3"/>
      <c r="N4" s="3"/>
    </row>
    <row r="5" spans="2:14" ht="14.25" x14ac:dyDescent="0.2">
      <c r="B5" s="302" t="s">
        <v>202</v>
      </c>
      <c r="C5" s="302"/>
      <c r="D5" s="302"/>
      <c r="E5" s="302"/>
      <c r="F5" s="303"/>
      <c r="I5" s="302"/>
      <c r="J5" s="302"/>
      <c r="K5" s="302"/>
      <c r="L5" s="302"/>
      <c r="M5" s="302"/>
      <c r="N5" s="302"/>
    </row>
    <row r="6" spans="2:14" ht="14.25" x14ac:dyDescent="0.2">
      <c r="B6" s="302"/>
      <c r="C6" s="302"/>
      <c r="D6" s="302"/>
      <c r="E6" s="302"/>
      <c r="F6" s="303"/>
      <c r="I6" s="302"/>
      <c r="J6" s="302"/>
      <c r="K6" s="302"/>
      <c r="L6" s="302"/>
      <c r="M6" s="302"/>
      <c r="N6" s="302"/>
    </row>
    <row r="7" spans="2:14" ht="14.25" x14ac:dyDescent="0.2">
      <c r="B7" s="302" t="s">
        <v>203</v>
      </c>
      <c r="C7" s="302"/>
      <c r="D7" s="302"/>
      <c r="E7" s="302"/>
      <c r="F7" s="302"/>
      <c r="G7" s="302"/>
      <c r="H7" s="302"/>
      <c r="I7" s="302"/>
      <c r="J7" s="302"/>
      <c r="K7" s="302"/>
      <c r="L7" s="302"/>
      <c r="M7" s="302"/>
      <c r="N7" s="302"/>
    </row>
    <row r="8" spans="2:14" ht="14.25" x14ac:dyDescent="0.2">
      <c r="B8" s="302"/>
      <c r="C8" s="302"/>
      <c r="D8" s="302"/>
      <c r="E8" s="302"/>
      <c r="F8" s="302"/>
      <c r="G8" s="302"/>
      <c r="H8" s="302"/>
      <c r="I8" s="302"/>
      <c r="J8" s="302"/>
      <c r="K8" s="302"/>
      <c r="L8" s="302"/>
      <c r="M8" s="302"/>
      <c r="N8" s="302"/>
    </row>
    <row r="9" spans="2:14" ht="14.25" x14ac:dyDescent="0.2">
      <c r="B9" s="302" t="s">
        <v>204</v>
      </c>
      <c r="C9" s="302"/>
      <c r="D9" s="302"/>
      <c r="E9" s="302"/>
      <c r="F9" s="302"/>
      <c r="G9" s="302"/>
      <c r="H9" s="302"/>
      <c r="I9" s="302"/>
      <c r="J9" s="302"/>
      <c r="K9" s="302"/>
      <c r="L9" s="302"/>
      <c r="M9" s="302"/>
      <c r="N9" s="302"/>
    </row>
    <row r="10" spans="2:14" ht="14.25" x14ac:dyDescent="0.2">
      <c r="B10" s="302"/>
      <c r="C10" s="302"/>
      <c r="D10" s="302"/>
      <c r="E10" s="302"/>
      <c r="F10" s="302"/>
      <c r="G10" s="302"/>
      <c r="H10" s="302"/>
      <c r="I10" s="302"/>
      <c r="J10" s="302"/>
      <c r="K10" s="302"/>
      <c r="L10" s="302"/>
      <c r="M10" s="302"/>
      <c r="N10" s="302"/>
    </row>
    <row r="11" spans="2:14" ht="18" x14ac:dyDescent="0.2">
      <c r="B11" s="304" t="s">
        <v>205</v>
      </c>
      <c r="C11" s="305"/>
      <c r="D11" s="302"/>
      <c r="E11" s="302"/>
      <c r="F11" s="302"/>
      <c r="G11" s="302"/>
      <c r="H11" s="302"/>
      <c r="I11" s="302"/>
      <c r="J11" s="302"/>
      <c r="K11" s="302"/>
      <c r="L11" s="302"/>
      <c r="M11" s="302"/>
      <c r="N11" s="302"/>
    </row>
    <row r="12" spans="2:14" ht="18" x14ac:dyDescent="0.2">
      <c r="B12" s="304" t="s">
        <v>206</v>
      </c>
      <c r="C12" s="305"/>
      <c r="D12" s="302"/>
      <c r="E12" s="302"/>
      <c r="F12" s="302"/>
      <c r="G12" s="302"/>
      <c r="H12" s="302"/>
      <c r="I12" s="302"/>
      <c r="J12" s="302"/>
      <c r="K12" s="302"/>
      <c r="L12" s="302"/>
      <c r="M12" s="302"/>
      <c r="N12" s="302"/>
    </row>
    <row r="13" spans="2:14" ht="14.25" x14ac:dyDescent="0.2">
      <c r="B13" s="305" t="s">
        <v>207</v>
      </c>
      <c r="C13" s="305"/>
      <c r="D13" s="302"/>
      <c r="E13" s="302"/>
      <c r="F13" s="302"/>
      <c r="G13" s="302"/>
      <c r="H13" s="302"/>
      <c r="I13" s="302"/>
      <c r="J13" s="302"/>
      <c r="K13" s="302"/>
      <c r="L13" s="302"/>
      <c r="M13" s="302"/>
      <c r="N13" s="302"/>
    </row>
    <row r="14" spans="2:14" ht="14.25" x14ac:dyDescent="0.2">
      <c r="B14" s="97" t="s">
        <v>208</v>
      </c>
      <c r="C14" s="97"/>
      <c r="D14" s="302"/>
      <c r="E14" s="302"/>
      <c r="F14" s="302"/>
      <c r="G14" s="302"/>
      <c r="H14" s="302"/>
      <c r="I14" s="302"/>
      <c r="J14" s="302"/>
      <c r="K14" s="302"/>
      <c r="L14" s="302"/>
      <c r="M14" s="302"/>
      <c r="N14" s="302"/>
    </row>
    <row r="15" spans="2:14" ht="14.25" x14ac:dyDescent="0.2">
      <c r="B15" s="97" t="s">
        <v>209</v>
      </c>
      <c r="C15" s="97"/>
      <c r="D15" s="302"/>
      <c r="E15" s="302"/>
      <c r="F15" s="302"/>
      <c r="G15" s="302"/>
      <c r="H15" s="302"/>
      <c r="I15" s="302"/>
      <c r="J15" s="302"/>
      <c r="K15" s="302"/>
      <c r="L15" s="302"/>
      <c r="M15" s="302"/>
      <c r="N15" s="302"/>
    </row>
    <row r="16" spans="2:14" ht="14.25" x14ac:dyDescent="0.2">
      <c r="B16" s="97" t="s">
        <v>210</v>
      </c>
      <c r="C16" s="97"/>
      <c r="D16" s="302"/>
      <c r="E16" s="302"/>
      <c r="F16" s="302"/>
      <c r="G16" s="302"/>
      <c r="H16" s="302"/>
      <c r="I16" s="302"/>
      <c r="J16" s="302"/>
      <c r="K16" s="302"/>
      <c r="L16" s="302"/>
      <c r="M16" s="302"/>
      <c r="N16" s="302"/>
    </row>
    <row r="17" spans="2:16" ht="15" thickBot="1" x14ac:dyDescent="0.25">
      <c r="B17" s="97"/>
      <c r="C17" s="97"/>
      <c r="D17" s="302"/>
      <c r="E17" s="302"/>
      <c r="F17" s="302"/>
      <c r="G17" s="302"/>
      <c r="H17" s="302"/>
      <c r="I17" s="302"/>
      <c r="J17" s="302"/>
      <c r="K17" s="302"/>
      <c r="L17" s="302"/>
      <c r="M17" s="302"/>
      <c r="N17" s="302"/>
    </row>
    <row r="18" spans="2:16" ht="18.75" thickBot="1" x14ac:dyDescent="0.25">
      <c r="B18" s="303"/>
      <c r="C18" s="304"/>
      <c r="D18" s="305"/>
      <c r="E18" s="302"/>
      <c r="F18" s="302"/>
      <c r="G18" s="302"/>
      <c r="H18" s="868" t="s">
        <v>425</v>
      </c>
      <c r="I18" s="869"/>
      <c r="J18" s="873"/>
      <c r="K18" s="867"/>
      <c r="L18" s="302"/>
      <c r="M18" s="302"/>
      <c r="N18" s="1002" t="s">
        <v>211</v>
      </c>
      <c r="O18" s="878">
        <v>8.7499999999999994E-2</v>
      </c>
    </row>
    <row r="19" spans="2:16" s="308" customFormat="1" ht="26.25" thickBot="1" x14ac:dyDescent="0.3">
      <c r="B19" s="306" t="s">
        <v>33</v>
      </c>
      <c r="C19" s="307" t="s">
        <v>212</v>
      </c>
      <c r="D19" s="970" t="s">
        <v>147</v>
      </c>
      <c r="E19" s="1003" t="s">
        <v>213</v>
      </c>
      <c r="F19" s="901" t="s">
        <v>214</v>
      </c>
      <c r="G19" s="901" t="s">
        <v>215</v>
      </c>
      <c r="H19" s="870" t="s">
        <v>422</v>
      </c>
      <c r="I19" s="870" t="s">
        <v>421</v>
      </c>
      <c r="J19" s="870" t="s">
        <v>423</v>
      </c>
      <c r="K19" s="870" t="s">
        <v>424</v>
      </c>
      <c r="L19" s="901" t="s">
        <v>216</v>
      </c>
      <c r="M19" s="970" t="s">
        <v>217</v>
      </c>
      <c r="N19" s="973" t="s">
        <v>218</v>
      </c>
      <c r="O19" s="971" t="s">
        <v>219</v>
      </c>
      <c r="P19" s="991" t="s">
        <v>220</v>
      </c>
    </row>
    <row r="20" spans="2:16" ht="38.25" x14ac:dyDescent="0.2">
      <c r="B20" s="320" t="s">
        <v>167</v>
      </c>
      <c r="C20" s="904"/>
      <c r="D20" s="998">
        <v>805002</v>
      </c>
      <c r="E20" s="1004" t="s">
        <v>979</v>
      </c>
      <c r="F20" s="972" t="s">
        <v>927</v>
      </c>
      <c r="G20" s="972" t="s">
        <v>928</v>
      </c>
      <c r="H20" s="875" t="s">
        <v>929</v>
      </c>
      <c r="I20" s="647" t="s">
        <v>930</v>
      </c>
      <c r="J20" s="647">
        <v>1998</v>
      </c>
      <c r="K20" s="874">
        <v>255515</v>
      </c>
      <c r="L20" s="972">
        <v>1</v>
      </c>
      <c r="M20" s="990">
        <v>23248.63</v>
      </c>
      <c r="N20" s="996">
        <f>L20*M20</f>
        <v>23248.63</v>
      </c>
      <c r="O20" s="993">
        <f>N20*1.0875</f>
        <v>25282.885125000001</v>
      </c>
      <c r="P20" s="997" t="s">
        <v>983</v>
      </c>
    </row>
    <row r="21" spans="2:16" ht="38.25" x14ac:dyDescent="0.2">
      <c r="B21" s="320" t="s">
        <v>167</v>
      </c>
      <c r="C21" s="905"/>
      <c r="D21" s="999">
        <v>805002</v>
      </c>
      <c r="E21" s="1005" t="s">
        <v>979</v>
      </c>
      <c r="F21" s="905" t="s">
        <v>927</v>
      </c>
      <c r="G21" s="972" t="s">
        <v>928</v>
      </c>
      <c r="H21" s="648">
        <v>22000014</v>
      </c>
      <c r="I21" s="647" t="s">
        <v>930</v>
      </c>
      <c r="J21" s="648">
        <v>1996</v>
      </c>
      <c r="K21" s="874">
        <v>250977</v>
      </c>
      <c r="L21" s="905">
        <v>1</v>
      </c>
      <c r="M21" s="995">
        <v>23248.63</v>
      </c>
      <c r="N21" s="996">
        <f>L21*M21</f>
        <v>23248.63</v>
      </c>
      <c r="O21" s="993">
        <f t="shared" ref="O21:O24" si="0">N21*1.0875</f>
        <v>25282.885125000001</v>
      </c>
      <c r="P21" s="997" t="s">
        <v>983</v>
      </c>
    </row>
    <row r="22" spans="2:16" ht="38.25" x14ac:dyDescent="0.2">
      <c r="B22" s="320" t="s">
        <v>167</v>
      </c>
      <c r="C22" s="309"/>
      <c r="D22" s="1000">
        <v>805002</v>
      </c>
      <c r="E22" s="1004" t="s">
        <v>974</v>
      </c>
      <c r="F22" s="976" t="s">
        <v>975</v>
      </c>
      <c r="G22" s="976" t="s">
        <v>980</v>
      </c>
      <c r="H22" s="648"/>
      <c r="I22" s="648"/>
      <c r="J22" s="648"/>
      <c r="K22" s="648"/>
      <c r="L22" s="976">
        <v>1</v>
      </c>
      <c r="M22" s="995">
        <v>16000</v>
      </c>
      <c r="N22" s="996">
        <f>L22*M22</f>
        <v>16000</v>
      </c>
      <c r="O22" s="993">
        <f t="shared" si="0"/>
        <v>17400</v>
      </c>
      <c r="P22" s="997" t="s">
        <v>984</v>
      </c>
    </row>
    <row r="23" spans="2:16" s="948" customFormat="1" ht="65.25" customHeight="1" x14ac:dyDescent="0.2">
      <c r="B23" s="320" t="s">
        <v>167</v>
      </c>
      <c r="C23" s="976"/>
      <c r="D23" s="1000">
        <v>805002</v>
      </c>
      <c r="E23" s="917" t="s">
        <v>978</v>
      </c>
      <c r="F23" s="976" t="s">
        <v>975</v>
      </c>
      <c r="G23" s="976" t="s">
        <v>980</v>
      </c>
      <c r="H23" s="648"/>
      <c r="I23" s="648"/>
      <c r="J23" s="648"/>
      <c r="K23" s="648"/>
      <c r="L23" s="976">
        <v>1</v>
      </c>
      <c r="M23" s="995">
        <v>12000</v>
      </c>
      <c r="N23" s="996">
        <v>12000</v>
      </c>
      <c r="O23" s="993">
        <f t="shared" si="0"/>
        <v>13049.999999999998</v>
      </c>
      <c r="P23" s="997" t="s">
        <v>985</v>
      </c>
    </row>
    <row r="24" spans="2:16" s="948" customFormat="1" ht="25.5" x14ac:dyDescent="0.2">
      <c r="B24" s="320" t="s">
        <v>167</v>
      </c>
      <c r="C24" s="976"/>
      <c r="D24" s="1000">
        <v>805002</v>
      </c>
      <c r="E24" s="1004" t="s">
        <v>981</v>
      </c>
      <c r="F24" s="976" t="s">
        <v>975</v>
      </c>
      <c r="G24" s="976" t="s">
        <v>980</v>
      </c>
      <c r="H24" s="648"/>
      <c r="I24" s="648"/>
      <c r="J24" s="648"/>
      <c r="K24" s="648"/>
      <c r="L24" s="976">
        <v>2</v>
      </c>
      <c r="M24" s="995">
        <v>50000</v>
      </c>
      <c r="N24" s="996">
        <f>L24*M24</f>
        <v>100000</v>
      </c>
      <c r="O24" s="993">
        <f t="shared" si="0"/>
        <v>108749.99999999999</v>
      </c>
      <c r="P24" s="997" t="s">
        <v>986</v>
      </c>
    </row>
    <row r="25" spans="2:16" ht="13.5" thickBot="1" x14ac:dyDescent="0.25">
      <c r="B25" s="320"/>
      <c r="C25" s="311"/>
      <c r="D25" s="1001"/>
      <c r="E25" s="1006"/>
      <c r="F25" s="311"/>
      <c r="G25" s="311"/>
      <c r="H25" s="649"/>
      <c r="I25" s="649"/>
      <c r="J25" s="649"/>
      <c r="K25" s="649"/>
      <c r="L25" s="311"/>
      <c r="M25" s="1007"/>
      <c r="N25" s="310"/>
      <c r="O25" s="994"/>
      <c r="P25" s="992"/>
    </row>
    <row r="26" spans="2:16" ht="13.5" thickBot="1" x14ac:dyDescent="0.25">
      <c r="B26" s="303"/>
      <c r="C26" s="303"/>
      <c r="D26" s="303"/>
      <c r="E26" s="303"/>
      <c r="F26" s="303"/>
      <c r="G26" s="303"/>
      <c r="H26" s="303"/>
      <c r="I26" s="303"/>
      <c r="J26" s="303"/>
      <c r="K26" s="303"/>
      <c r="L26" s="312"/>
      <c r="M26" s="312"/>
      <c r="N26" s="313" t="s">
        <v>221</v>
      </c>
      <c r="O26" s="994">
        <f>SUM(O20:O25)</f>
        <v>189765.77025</v>
      </c>
    </row>
    <row r="27" spans="2:16" ht="14.25" x14ac:dyDescent="0.2">
      <c r="B27" s="302"/>
      <c r="C27" s="302"/>
      <c r="D27" s="302"/>
      <c r="E27" s="302"/>
      <c r="F27" s="302"/>
      <c r="G27" s="315"/>
      <c r="H27" s="315"/>
      <c r="I27" s="315"/>
      <c r="J27" s="315"/>
      <c r="K27" s="315"/>
      <c r="L27" s="316"/>
      <c r="M27" s="316"/>
      <c r="N27" s="97"/>
    </row>
    <row r="28" spans="2:16" ht="18" x14ac:dyDescent="0.25">
      <c r="B28" s="317" t="s">
        <v>222</v>
      </c>
      <c r="C28" s="302"/>
      <c r="D28" s="302"/>
      <c r="E28" s="302"/>
      <c r="F28" s="302"/>
      <c r="G28" s="302"/>
      <c r="H28" s="302"/>
      <c r="I28" s="302"/>
      <c r="J28" s="302"/>
      <c r="K28" s="302"/>
      <c r="L28" s="302"/>
      <c r="M28" s="303"/>
      <c r="N28" s="303"/>
    </row>
    <row r="29" spans="2:16" s="3" customFormat="1" ht="14.25" x14ac:dyDescent="0.2">
      <c r="B29" s="302" t="s">
        <v>430</v>
      </c>
      <c r="C29" s="302"/>
      <c r="D29" s="302"/>
      <c r="E29" s="302"/>
      <c r="F29" s="302"/>
      <c r="G29" s="302"/>
      <c r="H29" s="302"/>
      <c r="I29" s="302"/>
      <c r="J29" s="302"/>
      <c r="K29" s="302"/>
      <c r="L29" s="302"/>
      <c r="M29" s="302"/>
      <c r="N29" s="302"/>
    </row>
    <row r="30" spans="2:16" ht="14.25" x14ac:dyDescent="0.2">
      <c r="B30" s="318" t="s">
        <v>223</v>
      </c>
      <c r="C30" s="97"/>
      <c r="D30" s="302"/>
      <c r="E30" s="302"/>
      <c r="F30" s="302"/>
      <c r="G30" s="302"/>
      <c r="H30" s="302"/>
      <c r="I30" s="302"/>
      <c r="J30" s="302"/>
      <c r="K30" s="302"/>
      <c r="L30" s="302"/>
      <c r="M30" s="302"/>
      <c r="N30" s="302"/>
    </row>
    <row r="31" spans="2:16" ht="15" thickBot="1" x14ac:dyDescent="0.25">
      <c r="B31" s="318"/>
      <c r="C31" s="97"/>
      <c r="D31" s="302"/>
      <c r="E31" s="302"/>
      <c r="F31" s="302"/>
      <c r="G31" s="302"/>
      <c r="H31" s="302"/>
      <c r="I31" s="302"/>
      <c r="J31" s="302"/>
      <c r="K31" s="302"/>
      <c r="L31" s="302"/>
      <c r="M31" s="302"/>
      <c r="N31" s="302"/>
    </row>
    <row r="32" spans="2:16" ht="18.75" thickBot="1" x14ac:dyDescent="0.25">
      <c r="C32" s="1"/>
      <c r="D32" s="7"/>
      <c r="E32" s="3"/>
      <c r="F32" s="3"/>
      <c r="G32" s="3"/>
      <c r="H32" s="868" t="s">
        <v>425</v>
      </c>
      <c r="I32" s="869"/>
      <c r="J32" s="873"/>
      <c r="K32" s="867"/>
      <c r="L32" s="3"/>
      <c r="M32" s="3"/>
      <c r="N32" s="879" t="s">
        <v>211</v>
      </c>
      <c r="O32" s="878">
        <v>8.7499999999999994E-2</v>
      </c>
    </row>
    <row r="33" spans="2:15" s="319" customFormat="1" ht="26.25" thickBot="1" x14ac:dyDescent="0.3">
      <c r="B33" s="906" t="s">
        <v>33</v>
      </c>
      <c r="C33" s="901" t="s">
        <v>224</v>
      </c>
      <c r="D33" s="901" t="s">
        <v>147</v>
      </c>
      <c r="E33" s="901" t="s">
        <v>213</v>
      </c>
      <c r="F33" s="901" t="s">
        <v>214</v>
      </c>
      <c r="G33" s="901" t="s">
        <v>215</v>
      </c>
      <c r="H33" s="870" t="s">
        <v>422</v>
      </c>
      <c r="I33" s="870" t="s">
        <v>421</v>
      </c>
      <c r="J33" s="870" t="s">
        <v>423</v>
      </c>
      <c r="K33" s="870" t="s">
        <v>424</v>
      </c>
      <c r="L33" s="901" t="s">
        <v>216</v>
      </c>
      <c r="M33" s="901" t="s">
        <v>225</v>
      </c>
      <c r="N33" s="902" t="s">
        <v>218</v>
      </c>
      <c r="O33" s="903" t="s">
        <v>219</v>
      </c>
    </row>
    <row r="34" spans="2:15" x14ac:dyDescent="0.2">
      <c r="B34" s="320"/>
      <c r="C34" s="321"/>
      <c r="D34" s="321"/>
      <c r="E34" s="321"/>
      <c r="F34" s="321"/>
      <c r="G34" s="321"/>
      <c r="H34" s="875"/>
      <c r="I34" s="647"/>
      <c r="J34" s="647"/>
      <c r="K34" s="874"/>
      <c r="L34" s="904"/>
      <c r="M34" s="881"/>
      <c r="N34" s="905">
        <f>L34*M34</f>
        <v>0</v>
      </c>
      <c r="O34" s="905">
        <f>N34*1.0875</f>
        <v>0</v>
      </c>
    </row>
    <row r="35" spans="2:15" x14ac:dyDescent="0.2">
      <c r="B35" s="320"/>
      <c r="C35" s="323"/>
      <c r="D35" s="323"/>
      <c r="E35" s="323"/>
      <c r="F35" s="323"/>
      <c r="G35" s="904"/>
      <c r="H35" s="648"/>
      <c r="I35" s="647"/>
      <c r="J35" s="648"/>
      <c r="K35" s="874"/>
      <c r="L35" s="905"/>
      <c r="M35" s="876"/>
      <c r="N35" s="905">
        <f>L35*M35</f>
        <v>0</v>
      </c>
      <c r="O35" s="905">
        <f t="shared" ref="O35:O38" si="1">N35*1.0875</f>
        <v>0</v>
      </c>
    </row>
    <row r="36" spans="2:15" x14ac:dyDescent="0.2">
      <c r="B36" s="322"/>
      <c r="C36" s="323"/>
      <c r="D36" s="323"/>
      <c r="E36" s="323"/>
      <c r="F36" s="323"/>
      <c r="G36" s="323"/>
      <c r="H36" s="648"/>
      <c r="I36" s="648"/>
      <c r="J36" s="648"/>
      <c r="K36" s="648"/>
      <c r="L36" s="905"/>
      <c r="M36" s="905"/>
      <c r="N36" s="905">
        <f>L36*M36</f>
        <v>0</v>
      </c>
      <c r="O36" s="905">
        <f t="shared" si="1"/>
        <v>0</v>
      </c>
    </row>
    <row r="37" spans="2:15" x14ac:dyDescent="0.2">
      <c r="B37" s="322"/>
      <c r="C37" s="323"/>
      <c r="D37" s="323"/>
      <c r="E37" s="323"/>
      <c r="F37" s="323"/>
      <c r="G37" s="323"/>
      <c r="H37" s="648"/>
      <c r="I37" s="648"/>
      <c r="J37" s="648"/>
      <c r="K37" s="648"/>
      <c r="L37" s="905"/>
      <c r="M37" s="905"/>
      <c r="N37" s="905">
        <f>L37*M37</f>
        <v>0</v>
      </c>
      <c r="O37" s="905">
        <f t="shared" si="1"/>
        <v>0</v>
      </c>
    </row>
    <row r="38" spans="2:15" ht="13.5" thickBot="1" x14ac:dyDescent="0.25">
      <c r="B38" s="324"/>
      <c r="C38" s="325"/>
      <c r="D38" s="325"/>
      <c r="E38" s="325"/>
      <c r="F38" s="325"/>
      <c r="G38" s="325"/>
      <c r="H38" s="649"/>
      <c r="I38" s="649"/>
      <c r="J38" s="649"/>
      <c r="K38" s="649"/>
      <c r="L38" s="905"/>
      <c r="M38" s="905"/>
      <c r="N38" s="905">
        <f>L38*M38</f>
        <v>0</v>
      </c>
      <c r="O38" s="905">
        <f t="shared" si="1"/>
        <v>0</v>
      </c>
    </row>
    <row r="39" spans="2:15" x14ac:dyDescent="0.2">
      <c r="H39" s="326"/>
      <c r="I39" s="326"/>
      <c r="J39" s="326"/>
      <c r="K39" s="326"/>
      <c r="L39" s="326"/>
      <c r="M39" s="327"/>
      <c r="N39" s="327" t="s">
        <v>221</v>
      </c>
      <c r="O39" s="880">
        <f>SUM(O34:O38)</f>
        <v>0</v>
      </c>
    </row>
    <row r="40" spans="2:15" ht="21" customHeight="1" x14ac:dyDescent="0.2">
      <c r="B40" s="3"/>
      <c r="C40" s="3"/>
      <c r="D40" s="3"/>
      <c r="E40" s="3"/>
      <c r="F40" s="3"/>
      <c r="G40" s="328"/>
      <c r="H40" s="328"/>
      <c r="I40" s="328"/>
      <c r="J40" s="328"/>
      <c r="K40" s="328"/>
      <c r="L40" s="329"/>
      <c r="M40" s="329"/>
      <c r="N40" s="54"/>
    </row>
    <row r="47" spans="2:15" ht="13.5" thickBot="1" x14ac:dyDescent="0.25">
      <c r="M47" s="314"/>
    </row>
    <row r="48" spans="2:15" ht="13.5" thickBot="1" x14ac:dyDescent="0.25">
      <c r="M48" s="314"/>
    </row>
  </sheetData>
  <printOptions horizontalCentered="1"/>
  <pageMargins left="0.16" right="0.16" top="0.28999999999999998" bottom="0.19" header="0.16" footer="0.17"/>
  <pageSetup paperSize="5" scale="6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N16"/>
  <sheetViews>
    <sheetView showGridLines="0" view="pageBreakPreview" zoomScale="75" zoomScaleNormal="100" zoomScaleSheetLayoutView="75" workbookViewId="0">
      <selection activeCell="K42" sqref="J42:K42"/>
    </sheetView>
  </sheetViews>
  <sheetFormatPr defaultColWidth="9.140625" defaultRowHeight="12.75" x14ac:dyDescent="0.2"/>
  <cols>
    <col min="1" max="1" width="4.5703125" style="55" customWidth="1"/>
    <col min="2" max="2" width="15.85546875" style="55" customWidth="1"/>
    <col min="3" max="3" width="23.7109375" style="55" customWidth="1"/>
    <col min="4" max="4" width="12.140625" style="55" customWidth="1"/>
    <col min="5" max="5" width="33.5703125" style="55" customWidth="1"/>
    <col min="6" max="6" width="11.28515625" style="55" customWidth="1"/>
    <col min="7" max="7" width="15.7109375" style="55" customWidth="1"/>
    <col min="8" max="8" width="18" style="55" customWidth="1"/>
    <col min="9" max="9" width="22" style="55" customWidth="1"/>
    <col min="10" max="11" width="10.85546875" style="55" customWidth="1"/>
    <col min="12" max="12" width="14.42578125" style="55" customWidth="1"/>
    <col min="13" max="13" width="14.7109375" style="55" customWidth="1"/>
    <col min="14" max="14" width="17.42578125" style="55" customWidth="1"/>
    <col min="15" max="15" width="27.140625" style="55" customWidth="1"/>
    <col min="16" max="16" width="40.85546875" style="55" customWidth="1"/>
    <col min="17" max="16384" width="9.140625" style="55"/>
  </cols>
  <sheetData>
    <row r="1" spans="2:14" ht="17.25" customHeight="1" x14ac:dyDescent="0.2"/>
    <row r="2" spans="2:14" ht="18" x14ac:dyDescent="0.2">
      <c r="B2" s="1" t="s">
        <v>751</v>
      </c>
      <c r="C2" s="300"/>
    </row>
    <row r="3" spans="2:14" ht="15" x14ac:dyDescent="0.2">
      <c r="B3" s="947" t="s">
        <v>759</v>
      </c>
      <c r="C3" s="301"/>
    </row>
    <row r="4" spans="2:14" ht="14.25" x14ac:dyDescent="0.2">
      <c r="B4" s="7"/>
      <c r="C4" s="7"/>
      <c r="D4" s="3"/>
      <c r="E4" s="3"/>
      <c r="F4" s="3"/>
      <c r="G4" s="3"/>
      <c r="H4" s="3"/>
      <c r="I4" s="3"/>
      <c r="J4" s="3"/>
      <c r="K4" s="3"/>
      <c r="L4" s="3"/>
      <c r="M4" s="3"/>
      <c r="N4" s="3"/>
    </row>
    <row r="5" spans="2:14" ht="14.25" x14ac:dyDescent="0.2">
      <c r="B5" s="302" t="s">
        <v>746</v>
      </c>
      <c r="C5" s="302"/>
      <c r="D5" s="302"/>
      <c r="E5" s="302"/>
      <c r="F5" s="303"/>
      <c r="I5" s="302"/>
      <c r="J5" s="302"/>
      <c r="K5" s="302"/>
      <c r="L5" s="302"/>
      <c r="M5" s="302"/>
      <c r="N5" s="302"/>
    </row>
    <row r="6" spans="2:14" ht="14.25" x14ac:dyDescent="0.2">
      <c r="B6" s="302" t="s">
        <v>752</v>
      </c>
      <c r="C6" s="302"/>
      <c r="D6" s="302"/>
      <c r="E6" s="302"/>
      <c r="F6" s="303"/>
      <c r="I6" s="302"/>
      <c r="J6" s="302"/>
      <c r="K6" s="302"/>
      <c r="L6" s="302"/>
      <c r="M6" s="302"/>
      <c r="N6" s="302"/>
    </row>
    <row r="7" spans="2:14" ht="14.25" x14ac:dyDescent="0.2">
      <c r="B7" s="302" t="s">
        <v>747</v>
      </c>
      <c r="C7" s="302"/>
      <c r="D7" s="302"/>
      <c r="E7" s="302"/>
      <c r="F7" s="302"/>
      <c r="G7" s="302"/>
      <c r="H7" s="302"/>
      <c r="I7" s="302"/>
      <c r="J7" s="302"/>
      <c r="K7" s="302"/>
      <c r="L7" s="302"/>
      <c r="M7" s="302"/>
      <c r="N7" s="302"/>
    </row>
    <row r="8" spans="2:14" ht="14.25" x14ac:dyDescent="0.2">
      <c r="B8" s="302" t="s">
        <v>753</v>
      </c>
      <c r="C8" s="302"/>
      <c r="D8" s="302"/>
      <c r="E8" s="302"/>
      <c r="F8" s="302"/>
      <c r="G8" s="302"/>
      <c r="H8" s="302"/>
      <c r="I8" s="302"/>
      <c r="J8" s="302"/>
      <c r="K8" s="302"/>
      <c r="L8" s="302"/>
      <c r="M8" s="302"/>
      <c r="N8" s="302"/>
    </row>
    <row r="9" spans="2:14" ht="14.25" x14ac:dyDescent="0.2">
      <c r="B9" s="302"/>
      <c r="C9" s="302"/>
      <c r="D9" s="302"/>
      <c r="E9" s="302"/>
      <c r="F9" s="302"/>
      <c r="G9" s="302"/>
      <c r="H9" s="302"/>
      <c r="I9" s="302"/>
      <c r="J9" s="302"/>
      <c r="K9" s="302"/>
      <c r="L9" s="302"/>
      <c r="M9" s="302"/>
      <c r="N9" s="302"/>
    </row>
    <row r="10" spans="2:14" ht="15" thickBot="1" x14ac:dyDescent="0.25">
      <c r="B10" s="318"/>
      <c r="C10" s="97"/>
      <c r="D10" s="302"/>
      <c r="E10" s="302"/>
      <c r="F10" s="302"/>
      <c r="G10" s="302"/>
      <c r="H10" s="643" t="s">
        <v>425</v>
      </c>
      <c r="I10" s="644"/>
      <c r="J10" s="645"/>
      <c r="K10" s="646"/>
      <c r="L10" s="302"/>
      <c r="M10" s="302"/>
      <c r="N10" s="302"/>
    </row>
    <row r="11" spans="2:14" ht="26.25" thickBot="1" x14ac:dyDescent="0.25">
      <c r="B11" s="813" t="s">
        <v>748</v>
      </c>
      <c r="C11" s="813" t="s">
        <v>67</v>
      </c>
      <c r="D11" s="813" t="s">
        <v>749</v>
      </c>
      <c r="E11" s="813" t="s">
        <v>750</v>
      </c>
      <c r="F11" s="813" t="s">
        <v>744</v>
      </c>
      <c r="G11" s="814" t="s">
        <v>745</v>
      </c>
      <c r="H11" s="812" t="s">
        <v>422</v>
      </c>
      <c r="I11" s="812" t="s">
        <v>421</v>
      </c>
      <c r="J11" s="812" t="s">
        <v>423</v>
      </c>
      <c r="K11" s="812" t="s">
        <v>424</v>
      </c>
    </row>
    <row r="12" spans="2:14" ht="13.5" thickBot="1" x14ac:dyDescent="0.25">
      <c r="B12" s="815"/>
      <c r="C12" s="815"/>
      <c r="D12" s="815"/>
      <c r="E12" s="815"/>
      <c r="F12" s="815"/>
      <c r="G12" s="816"/>
      <c r="H12" s="816"/>
      <c r="I12" s="816"/>
      <c r="J12" s="816"/>
      <c r="K12" s="815"/>
    </row>
    <row r="13" spans="2:14" ht="13.5" thickBot="1" x14ac:dyDescent="0.25">
      <c r="B13" s="815"/>
      <c r="C13" s="815"/>
      <c r="D13" s="815"/>
      <c r="E13" s="815"/>
      <c r="F13" s="815"/>
      <c r="G13" s="816"/>
      <c r="H13" s="816"/>
      <c r="I13" s="816"/>
      <c r="J13" s="816"/>
      <c r="K13" s="815"/>
    </row>
    <row r="14" spans="2:14" ht="13.5" thickBot="1" x14ac:dyDescent="0.25">
      <c r="B14" s="815"/>
      <c r="C14" s="815"/>
      <c r="D14" s="815"/>
      <c r="E14" s="815"/>
      <c r="F14" s="815"/>
      <c r="G14" s="816"/>
      <c r="H14" s="816"/>
      <c r="I14" s="816"/>
      <c r="J14" s="816"/>
      <c r="K14" s="815"/>
    </row>
    <row r="15" spans="2:14" ht="13.5" thickBot="1" x14ac:dyDescent="0.25">
      <c r="B15" s="815"/>
      <c r="C15" s="815"/>
      <c r="D15" s="815"/>
      <c r="E15" s="815"/>
      <c r="F15" s="815"/>
      <c r="G15" s="816"/>
      <c r="H15" s="816"/>
      <c r="I15" s="816"/>
      <c r="J15" s="816"/>
      <c r="K15" s="815"/>
    </row>
    <row r="16" spans="2:14" ht="13.5" thickBot="1" x14ac:dyDescent="0.25">
      <c r="B16" s="815"/>
      <c r="C16" s="815"/>
      <c r="D16" s="815"/>
      <c r="E16" s="815"/>
      <c r="F16" s="815"/>
      <c r="G16" s="816"/>
      <c r="H16" s="816"/>
      <c r="I16" s="816"/>
      <c r="J16" s="816"/>
      <c r="K16" s="815"/>
    </row>
  </sheetData>
  <printOptions horizontalCentered="1"/>
  <pageMargins left="0.16" right="0.16" top="0.28999999999999998" bottom="0.19" header="0.16" footer="0.17"/>
  <pageSetup scale="7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2:C6"/>
  <sheetViews>
    <sheetView view="pageBreakPreview" zoomScale="60" zoomScaleNormal="100" workbookViewId="0">
      <selection activeCell="W27" sqref="W27"/>
    </sheetView>
  </sheetViews>
  <sheetFormatPr defaultColWidth="9.140625" defaultRowHeight="18" x14ac:dyDescent="0.25"/>
  <cols>
    <col min="1" max="1" width="5.7109375" style="330" customWidth="1"/>
    <col min="2" max="16384" width="9.140625" style="330"/>
  </cols>
  <sheetData>
    <row r="2" spans="2:3" x14ac:dyDescent="0.25">
      <c r="B2" s="46" t="s">
        <v>226</v>
      </c>
    </row>
    <row r="3" spans="2:3" x14ac:dyDescent="0.25">
      <c r="B3" s="947" t="s">
        <v>759</v>
      </c>
    </row>
    <row r="5" spans="2:3" x14ac:dyDescent="0.25">
      <c r="B5" s="330" t="s">
        <v>227</v>
      </c>
    </row>
    <row r="6" spans="2:3" x14ac:dyDescent="0.25">
      <c r="C6" s="331"/>
    </row>
  </sheetData>
  <pageMargins left="0.25" right="0.32" top="0.48" bottom="0.44" header="0.31" footer="0.28000000000000003"/>
  <pageSetup scale="7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2:C6"/>
  <sheetViews>
    <sheetView view="pageBreakPreview" zoomScale="60" zoomScaleNormal="100" workbookViewId="0">
      <selection activeCell="O34" sqref="O34"/>
    </sheetView>
  </sheetViews>
  <sheetFormatPr defaultColWidth="9.140625" defaultRowHeight="20.25" x14ac:dyDescent="0.3"/>
  <cols>
    <col min="1" max="1" width="4.7109375" style="188" customWidth="1"/>
    <col min="2" max="16384" width="9.140625" style="188"/>
  </cols>
  <sheetData>
    <row r="2" spans="2:3" x14ac:dyDescent="0.3">
      <c r="B2" s="66" t="s">
        <v>426</v>
      </c>
    </row>
    <row r="3" spans="2:3" x14ac:dyDescent="0.3">
      <c r="B3" s="947" t="s">
        <v>759</v>
      </c>
    </row>
    <row r="5" spans="2:3" x14ac:dyDescent="0.3">
      <c r="B5" s="188" t="s">
        <v>429</v>
      </c>
    </row>
    <row r="6" spans="2:3" x14ac:dyDescent="0.3">
      <c r="C6" s="189"/>
    </row>
  </sheetData>
  <pageMargins left="0.37" right="0.2" top="0.28999999999999998" bottom="0.24" header="0.1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R17"/>
  <sheetViews>
    <sheetView view="pageBreakPreview" zoomScale="60" zoomScaleNormal="90" workbookViewId="0">
      <selection activeCell="O22" sqref="O22"/>
    </sheetView>
  </sheetViews>
  <sheetFormatPr defaultColWidth="9.140625" defaultRowHeight="14.25" x14ac:dyDescent="0.2"/>
  <cols>
    <col min="1" max="1" width="4.42578125" style="174" customWidth="1"/>
    <col min="2" max="2" width="9.7109375" style="174" customWidth="1"/>
    <col min="3" max="3" width="10.140625" style="174" customWidth="1"/>
    <col min="4" max="4" width="9.5703125" style="174" customWidth="1"/>
    <col min="5" max="5" width="13.5703125" style="174" customWidth="1"/>
    <col min="6" max="6" width="10.85546875" style="174" bestFit="1" customWidth="1"/>
    <col min="7" max="7" width="13.28515625" style="174" customWidth="1"/>
    <col min="8" max="8" width="10.28515625" style="174" customWidth="1"/>
    <col min="9" max="9" width="13.28515625" style="174" customWidth="1"/>
    <col min="10" max="10" width="32.140625" style="174" customWidth="1"/>
    <col min="11" max="11" width="11.28515625" style="174" customWidth="1"/>
    <col min="12" max="12" width="13.42578125" style="332" customWidth="1"/>
    <col min="13" max="13" width="15.5703125" style="332" customWidth="1"/>
    <col min="14" max="14" width="15.140625" style="333" customWidth="1"/>
    <col min="15" max="15" width="15.28515625" style="333" customWidth="1"/>
    <col min="16" max="16" width="15" style="332" customWidth="1"/>
    <col min="17" max="17" width="26.7109375" style="174" customWidth="1"/>
    <col min="18" max="18" width="27.140625" style="174" bestFit="1" customWidth="1"/>
    <col min="19" max="16384" width="9.140625" style="174"/>
  </cols>
  <sheetData>
    <row r="2" spans="2:18" ht="18" x14ac:dyDescent="0.25">
      <c r="B2" s="171" t="s">
        <v>228</v>
      </c>
      <c r="C2" s="172"/>
      <c r="D2" s="172"/>
      <c r="F2" s="172"/>
      <c r="G2" s="172"/>
      <c r="H2" s="172"/>
      <c r="I2" s="172"/>
      <c r="J2" s="172"/>
      <c r="K2" s="172"/>
    </row>
    <row r="3" spans="2:18" ht="15" x14ac:dyDescent="0.2">
      <c r="B3" s="947" t="s">
        <v>759</v>
      </c>
    </row>
    <row r="5" spans="2:18" ht="18" x14ac:dyDescent="0.25">
      <c r="B5" s="171" t="s">
        <v>229</v>
      </c>
    </row>
    <row r="6" spans="2:18" x14ac:dyDescent="0.2">
      <c r="B6" s="174" t="s">
        <v>230</v>
      </c>
    </row>
    <row r="7" spans="2:18" ht="15.75" customHeight="1" x14ac:dyDescent="0.2">
      <c r="B7" s="174" t="s">
        <v>231</v>
      </c>
    </row>
    <row r="8" spans="2:18" x14ac:dyDescent="0.2">
      <c r="C8" s="177"/>
      <c r="D8" s="177"/>
      <c r="E8" s="177"/>
      <c r="F8" s="177"/>
      <c r="G8" s="177"/>
      <c r="H8" s="177"/>
      <c r="I8" s="177"/>
      <c r="J8" s="177"/>
      <c r="K8" s="177"/>
      <c r="L8" s="334"/>
      <c r="M8" s="334"/>
      <c r="P8" s="334"/>
    </row>
    <row r="9" spans="2:18" ht="15" x14ac:dyDescent="0.25">
      <c r="B9" s="335" t="s">
        <v>232</v>
      </c>
      <c r="C9" s="97"/>
      <c r="D9" s="97"/>
      <c r="E9" s="97"/>
      <c r="F9" s="97"/>
      <c r="G9" s="97"/>
      <c r="H9" s="97"/>
      <c r="I9" s="97"/>
      <c r="J9" s="97"/>
      <c r="K9" s="177"/>
      <c r="L9" s="336" t="s">
        <v>41</v>
      </c>
      <c r="M9" s="97"/>
      <c r="N9" s="336"/>
      <c r="O9" s="97"/>
      <c r="P9" s="337"/>
    </row>
    <row r="10" spans="2:18" s="339" customFormat="1" ht="20.25" customHeight="1" x14ac:dyDescent="0.25">
      <c r="B10" s="1117" t="s">
        <v>233</v>
      </c>
      <c r="C10" s="1117" t="s">
        <v>234</v>
      </c>
      <c r="D10" s="1117" t="s">
        <v>42</v>
      </c>
      <c r="E10" s="1117" t="s">
        <v>43</v>
      </c>
      <c r="F10" s="1117" t="s">
        <v>44</v>
      </c>
      <c r="G10" s="1117" t="s">
        <v>5</v>
      </c>
      <c r="H10" s="1117" t="s">
        <v>147</v>
      </c>
      <c r="I10" s="1117" t="s">
        <v>235</v>
      </c>
      <c r="J10" s="1117" t="s">
        <v>236</v>
      </c>
      <c r="K10" s="1117" t="s">
        <v>237</v>
      </c>
      <c r="L10" s="1119" t="s">
        <v>238</v>
      </c>
      <c r="M10" s="1118" t="s">
        <v>239</v>
      </c>
      <c r="N10" s="1118"/>
      <c r="O10" s="1118" t="s">
        <v>240</v>
      </c>
      <c r="P10" s="1118"/>
      <c r="Q10" s="338" t="s">
        <v>41</v>
      </c>
      <c r="R10" s="338" t="s">
        <v>241</v>
      </c>
    </row>
    <row r="11" spans="2:18" s="343" customFormat="1" ht="41.25" customHeight="1" x14ac:dyDescent="0.25">
      <c r="B11" s="1117"/>
      <c r="C11" s="1117"/>
      <c r="D11" s="1117"/>
      <c r="E11" s="1117"/>
      <c r="F11" s="1117"/>
      <c r="G11" s="1117"/>
      <c r="H11" s="1117"/>
      <c r="I11" s="1117"/>
      <c r="J11" s="1117"/>
      <c r="K11" s="1117"/>
      <c r="L11" s="1120"/>
      <c r="M11" s="340" t="s">
        <v>242</v>
      </c>
      <c r="N11" s="341" t="s">
        <v>243</v>
      </c>
      <c r="O11" s="340" t="s">
        <v>242</v>
      </c>
      <c r="P11" s="341" t="s">
        <v>243</v>
      </c>
      <c r="Q11" s="342" t="s">
        <v>244</v>
      </c>
      <c r="R11" s="342" t="s">
        <v>245</v>
      </c>
    </row>
    <row r="12" spans="2:18" ht="86.25" x14ac:dyDescent="0.25">
      <c r="B12" s="344" t="s">
        <v>346</v>
      </c>
      <c r="C12" s="344" t="s">
        <v>1032</v>
      </c>
      <c r="D12" s="344" t="s">
        <v>42</v>
      </c>
      <c r="E12" s="344" t="s">
        <v>1033</v>
      </c>
      <c r="F12" s="344" t="s">
        <v>790</v>
      </c>
      <c r="G12" s="344" t="s">
        <v>791</v>
      </c>
      <c r="H12" s="344">
        <v>805002</v>
      </c>
      <c r="I12" s="344" t="s">
        <v>1034</v>
      </c>
      <c r="J12" s="854" t="s">
        <v>1038</v>
      </c>
      <c r="K12" s="344" t="s">
        <v>105</v>
      </c>
      <c r="L12" s="344" t="s">
        <v>348</v>
      </c>
      <c r="M12" s="345">
        <v>105351</v>
      </c>
      <c r="N12" s="349">
        <v>1</v>
      </c>
      <c r="O12" s="349">
        <v>104827</v>
      </c>
      <c r="P12" s="349">
        <v>1</v>
      </c>
      <c r="Q12" s="854" t="s">
        <v>1043</v>
      </c>
      <c r="R12" s="346" t="s">
        <v>914</v>
      </c>
    </row>
    <row r="13" spans="2:18" ht="15" x14ac:dyDescent="0.25">
      <c r="B13" s="344" t="s">
        <v>346</v>
      </c>
      <c r="C13" s="344" t="s">
        <v>1032</v>
      </c>
      <c r="D13" s="344" t="s">
        <v>42</v>
      </c>
      <c r="E13" s="344" t="s">
        <v>1033</v>
      </c>
      <c r="F13" s="344" t="s">
        <v>790</v>
      </c>
      <c r="G13" s="344" t="s">
        <v>791</v>
      </c>
      <c r="H13" s="344">
        <v>805003</v>
      </c>
      <c r="I13" s="344" t="s">
        <v>1035</v>
      </c>
      <c r="J13" s="854" t="s">
        <v>1039</v>
      </c>
      <c r="K13" s="344" t="s">
        <v>105</v>
      </c>
      <c r="L13" s="344" t="s">
        <v>348</v>
      </c>
      <c r="M13" s="345">
        <v>-278610</v>
      </c>
      <c r="N13" s="349">
        <v>-3</v>
      </c>
      <c r="O13" s="349">
        <v>-277249</v>
      </c>
      <c r="P13" s="349">
        <v>-3</v>
      </c>
      <c r="Q13" s="346"/>
      <c r="R13" s="346"/>
    </row>
    <row r="14" spans="2:18" ht="15" customHeight="1" x14ac:dyDescent="0.25">
      <c r="B14" s="344" t="s">
        <v>346</v>
      </c>
      <c r="C14" s="344" t="s">
        <v>1032</v>
      </c>
      <c r="D14" s="344" t="s">
        <v>42</v>
      </c>
      <c r="E14" s="344" t="s">
        <v>1033</v>
      </c>
      <c r="F14" s="344" t="s">
        <v>790</v>
      </c>
      <c r="G14" s="344" t="s">
        <v>791</v>
      </c>
      <c r="H14" s="344">
        <v>805004</v>
      </c>
      <c r="I14" s="344" t="s">
        <v>1036</v>
      </c>
      <c r="J14" s="854" t="s">
        <v>1040</v>
      </c>
      <c r="K14" s="344" t="s">
        <v>105</v>
      </c>
      <c r="L14" s="344" t="s">
        <v>348</v>
      </c>
      <c r="M14" s="345">
        <v>103392</v>
      </c>
      <c r="N14" s="349">
        <v>1</v>
      </c>
      <c r="O14" s="349">
        <v>102824</v>
      </c>
      <c r="P14" s="349">
        <v>1</v>
      </c>
      <c r="Q14" s="346"/>
      <c r="R14" s="346"/>
    </row>
    <row r="15" spans="2:18" ht="15" x14ac:dyDescent="0.25">
      <c r="B15" s="344" t="s">
        <v>346</v>
      </c>
      <c r="C15" s="344" t="s">
        <v>1032</v>
      </c>
      <c r="D15" s="344" t="s">
        <v>42</v>
      </c>
      <c r="E15" s="344" t="s">
        <v>1033</v>
      </c>
      <c r="F15" s="344" t="s">
        <v>790</v>
      </c>
      <c r="G15" s="344" t="s">
        <v>791</v>
      </c>
      <c r="H15" s="344">
        <v>805005</v>
      </c>
      <c r="I15" s="344" t="s">
        <v>1037</v>
      </c>
      <c r="J15" s="854" t="s">
        <v>1041</v>
      </c>
      <c r="K15" s="344" t="s">
        <v>105</v>
      </c>
      <c r="L15" s="344" t="s">
        <v>348</v>
      </c>
      <c r="M15" s="345">
        <v>-53</v>
      </c>
      <c r="N15" s="349">
        <v>0</v>
      </c>
      <c r="O15" s="349">
        <v>-103</v>
      </c>
      <c r="P15" s="349">
        <v>0</v>
      </c>
      <c r="Q15" s="346"/>
      <c r="R15" s="346"/>
    </row>
    <row r="16" spans="2:18" ht="15" x14ac:dyDescent="0.25">
      <c r="B16" s="344" t="s">
        <v>346</v>
      </c>
      <c r="C16" s="344" t="s">
        <v>1032</v>
      </c>
      <c r="D16" s="344" t="s">
        <v>42</v>
      </c>
      <c r="E16" s="344" t="s">
        <v>1033</v>
      </c>
      <c r="F16" s="344" t="s">
        <v>790</v>
      </c>
      <c r="G16" s="344" t="s">
        <v>791</v>
      </c>
      <c r="H16" s="344">
        <v>805006</v>
      </c>
      <c r="I16" s="344" t="s">
        <v>1037</v>
      </c>
      <c r="J16" s="854" t="s">
        <v>1041</v>
      </c>
      <c r="K16" s="344" t="s">
        <v>105</v>
      </c>
      <c r="L16" s="344" t="s">
        <v>348</v>
      </c>
      <c r="M16" s="345">
        <v>-167</v>
      </c>
      <c r="N16" s="349">
        <v>0</v>
      </c>
      <c r="O16" s="349">
        <v>-334</v>
      </c>
      <c r="P16" s="349"/>
      <c r="Q16" s="346"/>
      <c r="R16" s="346"/>
    </row>
    <row r="17" spans="2:18" s="172" customFormat="1" ht="19.5" customHeight="1" x14ac:dyDescent="0.25">
      <c r="B17" s="347" t="s">
        <v>246</v>
      </c>
      <c r="C17" s="348"/>
      <c r="D17" s="347"/>
      <c r="E17" s="347"/>
      <c r="F17" s="347"/>
      <c r="G17" s="347"/>
      <c r="H17" s="347"/>
      <c r="I17" s="347"/>
      <c r="J17" s="347"/>
      <c r="K17" s="347"/>
      <c r="L17" s="347"/>
      <c r="M17" s="345">
        <f t="shared" ref="M17:P17" si="0">SUM(M12:M16)</f>
        <v>-70087</v>
      </c>
      <c r="N17" s="349">
        <f t="shared" si="0"/>
        <v>-1</v>
      </c>
      <c r="O17" s="349">
        <f>SUM(O12:O16)</f>
        <v>-70035</v>
      </c>
      <c r="P17" s="349">
        <f t="shared" si="0"/>
        <v>-1</v>
      </c>
      <c r="Q17" s="348"/>
      <c r="R17" s="348"/>
    </row>
  </sheetData>
  <mergeCells count="13">
    <mergeCell ref="O10:P10"/>
    <mergeCell ref="H10:H11"/>
    <mergeCell ref="I10:I11"/>
    <mergeCell ref="J10:J11"/>
    <mergeCell ref="K10:K11"/>
    <mergeCell ref="L10:L11"/>
    <mergeCell ref="M10:N10"/>
    <mergeCell ref="G10:G11"/>
    <mergeCell ref="B10:B11"/>
    <mergeCell ref="C10:C11"/>
    <mergeCell ref="D10:D11"/>
    <mergeCell ref="E10:E11"/>
    <mergeCell ref="F10:F11"/>
  </mergeCells>
  <pageMargins left="0.16" right="0.16" top="0.39" bottom="0.6" header="0.28000000000000003" footer="0.37"/>
  <pageSetup paperSize="5"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O31"/>
  <sheetViews>
    <sheetView view="pageBreakPreview" zoomScale="60" zoomScaleNormal="90" workbookViewId="0">
      <selection activeCell="I19" sqref="I19"/>
    </sheetView>
  </sheetViews>
  <sheetFormatPr defaultColWidth="9.140625" defaultRowHeight="12.75" x14ac:dyDescent="0.2"/>
  <cols>
    <col min="1" max="1" width="7.140625" style="55" customWidth="1"/>
    <col min="2" max="2" width="71.85546875" style="55" customWidth="1"/>
    <col min="3" max="3" width="34.28515625" style="55" customWidth="1"/>
    <col min="4" max="4" width="35.28515625" style="55" customWidth="1"/>
    <col min="5" max="5" width="18.140625" style="55" customWidth="1"/>
    <col min="6" max="6" width="28.7109375" style="55" customWidth="1"/>
    <col min="7" max="16384" width="9.140625" style="55"/>
  </cols>
  <sheetData>
    <row r="3" spans="2:6" ht="22.5" customHeight="1" x14ac:dyDescent="0.25">
      <c r="B3" s="350" t="s">
        <v>247</v>
      </c>
      <c r="C3" s="351"/>
      <c r="D3" s="351"/>
      <c r="E3" s="351"/>
    </row>
    <row r="4" spans="2:6" ht="23.25" customHeight="1" x14ac:dyDescent="0.2">
      <c r="B4" s="947" t="s">
        <v>759</v>
      </c>
    </row>
    <row r="5" spans="2:6" ht="23.25" customHeight="1" thickBot="1" x14ac:dyDescent="0.25">
      <c r="B5" s="11"/>
    </row>
    <row r="6" spans="2:6" ht="23.25" customHeight="1" thickBot="1" x14ac:dyDescent="0.25">
      <c r="B6" s="352" t="s">
        <v>248</v>
      </c>
      <c r="C6" s="353" t="s">
        <v>249</v>
      </c>
    </row>
    <row r="7" spans="2:6" s="11" customFormat="1" ht="36" customHeight="1" x14ac:dyDescent="0.2">
      <c r="B7" s="354" t="s">
        <v>250</v>
      </c>
      <c r="C7" s="355" t="s">
        <v>976</v>
      </c>
    </row>
    <row r="8" spans="2:6" s="11" customFormat="1" ht="22.5" customHeight="1" x14ac:dyDescent="0.2">
      <c r="B8" s="356"/>
      <c r="C8" s="356"/>
    </row>
    <row r="9" spans="2:6" s="11" customFormat="1" ht="22.5" customHeight="1" thickBot="1" x14ac:dyDescent="0.25">
      <c r="B9" s="357" t="s">
        <v>239</v>
      </c>
      <c r="C9" s="358"/>
      <c r="D9" s="358"/>
      <c r="E9" s="359"/>
      <c r="F9" s="358"/>
    </row>
    <row r="10" spans="2:6" s="363" customFormat="1" ht="66" customHeight="1" thickBot="1" x14ac:dyDescent="0.3">
      <c r="B10" s="352" t="s">
        <v>251</v>
      </c>
      <c r="C10" s="353" t="s">
        <v>252</v>
      </c>
      <c r="D10" s="360" t="s">
        <v>253</v>
      </c>
      <c r="E10" s="361" t="s">
        <v>254</v>
      </c>
      <c r="F10" s="362" t="s">
        <v>255</v>
      </c>
    </row>
    <row r="11" spans="2:6" s="3" customFormat="1" ht="32.1" customHeight="1" x14ac:dyDescent="0.2">
      <c r="B11" s="364"/>
      <c r="C11" s="355"/>
      <c r="D11" s="365"/>
      <c r="E11" s="365"/>
      <c r="F11" s="366"/>
    </row>
    <row r="12" spans="2:6" s="3" customFormat="1" ht="32.1" customHeight="1" x14ac:dyDescent="0.2">
      <c r="B12" s="367"/>
      <c r="C12" s="24"/>
      <c r="D12" s="81"/>
      <c r="E12" s="81"/>
      <c r="F12" s="23"/>
    </row>
    <row r="13" spans="2:6" s="3" customFormat="1" ht="32.1" customHeight="1" x14ac:dyDescent="0.2">
      <c r="B13" s="367"/>
      <c r="C13" s="24"/>
      <c r="D13" s="81"/>
      <c r="E13" s="81"/>
      <c r="F13" s="23"/>
    </row>
    <row r="14" spans="2:6" s="3" customFormat="1" ht="32.1" customHeight="1" x14ac:dyDescent="0.2">
      <c r="B14" s="367"/>
      <c r="C14" s="24"/>
      <c r="D14" s="81"/>
      <c r="E14" s="81"/>
      <c r="F14" s="23"/>
    </row>
    <row r="15" spans="2:6" s="3" customFormat="1" ht="32.1" customHeight="1" thickBot="1" x14ac:dyDescent="0.25">
      <c r="B15" s="368"/>
      <c r="C15" s="29"/>
      <c r="D15" s="369"/>
      <c r="E15" s="369"/>
      <c r="F15" s="28"/>
    </row>
    <row r="16" spans="2:6" s="47" customFormat="1" ht="32.1" customHeight="1" thickBot="1" x14ac:dyDescent="0.3">
      <c r="B16" s="370" t="s">
        <v>246</v>
      </c>
      <c r="C16" s="371">
        <f>SUM(C11:C15)</f>
        <v>0</v>
      </c>
      <c r="D16" s="372">
        <f>SUM(D11:D15)</f>
        <v>0</v>
      </c>
      <c r="E16" s="372"/>
      <c r="F16" s="373"/>
    </row>
    <row r="17" spans="2:15" s="47" customFormat="1" ht="38.25" customHeight="1" x14ac:dyDescent="0.25">
      <c r="B17" s="370"/>
      <c r="C17" s="374"/>
      <c r="D17" s="374"/>
      <c r="E17" s="374"/>
      <c r="F17" s="375"/>
    </row>
    <row r="18" spans="2:15" s="376" customFormat="1" ht="22.5" customHeight="1" thickBot="1" x14ac:dyDescent="0.3">
      <c r="B18" s="376" t="s">
        <v>240</v>
      </c>
    </row>
    <row r="19" spans="2:15" s="363" customFormat="1" ht="66" customHeight="1" thickBot="1" x14ac:dyDescent="0.3">
      <c r="B19" s="352" t="s">
        <v>251</v>
      </c>
      <c r="C19" s="353" t="s">
        <v>256</v>
      </c>
      <c r="D19" s="360" t="s">
        <v>257</v>
      </c>
      <c r="E19" s="361" t="s">
        <v>254</v>
      </c>
      <c r="F19" s="362" t="s">
        <v>255</v>
      </c>
    </row>
    <row r="20" spans="2:15" s="3" customFormat="1" ht="32.1" customHeight="1" x14ac:dyDescent="0.2">
      <c r="B20" s="364"/>
      <c r="C20" s="355"/>
      <c r="D20" s="365"/>
      <c r="E20" s="365"/>
      <c r="F20" s="366"/>
    </row>
    <row r="21" spans="2:15" s="3" customFormat="1" ht="32.1" customHeight="1" x14ac:dyDescent="0.2">
      <c r="B21" s="367"/>
      <c r="C21" s="24"/>
      <c r="D21" s="81"/>
      <c r="E21" s="81"/>
      <c r="F21" s="23"/>
    </row>
    <row r="22" spans="2:15" s="3" customFormat="1" ht="32.1" customHeight="1" x14ac:dyDescent="0.2">
      <c r="B22" s="367"/>
      <c r="C22" s="24"/>
      <c r="D22" s="81"/>
      <c r="E22" s="81"/>
      <c r="F22" s="23"/>
    </row>
    <row r="23" spans="2:15" s="3" customFormat="1" ht="32.1" customHeight="1" x14ac:dyDescent="0.2">
      <c r="B23" s="367"/>
      <c r="C23" s="24"/>
      <c r="D23" s="81"/>
      <c r="E23" s="81"/>
      <c r="F23" s="23"/>
    </row>
    <row r="24" spans="2:15" s="3" customFormat="1" ht="32.1" customHeight="1" thickBot="1" x14ac:dyDescent="0.25">
      <c r="B24" s="368"/>
      <c r="C24" s="29"/>
      <c r="D24" s="369"/>
      <c r="E24" s="369"/>
      <c r="F24" s="28"/>
    </row>
    <row r="25" spans="2:15" s="47" customFormat="1" ht="32.1" customHeight="1" thickBot="1" x14ac:dyDescent="0.3">
      <c r="B25" s="370" t="s">
        <v>246</v>
      </c>
      <c r="C25" s="371">
        <f>SUM(C20:C24)</f>
        <v>0</v>
      </c>
      <c r="D25" s="372">
        <f>SUM(D20:D24)</f>
        <v>0</v>
      </c>
      <c r="E25" s="372"/>
      <c r="F25" s="373"/>
    </row>
    <row r="26" spans="2:15" s="3" customFormat="1" ht="14.25" x14ac:dyDescent="0.2"/>
    <row r="27" spans="2:15" s="3" customFormat="1" ht="14.25" x14ac:dyDescent="0.2">
      <c r="B27" s="1113" t="s">
        <v>171</v>
      </c>
      <c r="C27" s="1113"/>
      <c r="D27" s="1113"/>
      <c r="E27" s="1113"/>
      <c r="F27" s="1113"/>
      <c r="G27" s="1113"/>
      <c r="H27" s="1113"/>
      <c r="I27" s="1113"/>
      <c r="J27" s="1113"/>
      <c r="K27" s="1113"/>
      <c r="L27" s="1113"/>
      <c r="M27" s="1113"/>
      <c r="N27" s="1113"/>
      <c r="O27" s="1113"/>
    </row>
    <row r="28" spans="2:15" s="3" customFormat="1" ht="14.25" x14ac:dyDescent="0.2">
      <c r="B28" s="3" t="s">
        <v>258</v>
      </c>
    </row>
    <row r="29" spans="2:15" s="3" customFormat="1" ht="14.25" x14ac:dyDescent="0.2"/>
    <row r="30" spans="2:15" s="3" customFormat="1" ht="14.25" x14ac:dyDescent="0.2"/>
    <row r="31" spans="2:15" ht="14.25" x14ac:dyDescent="0.2">
      <c r="B31" s="3"/>
      <c r="C31" s="3"/>
      <c r="D31" s="3"/>
      <c r="E31" s="3"/>
      <c r="F31" s="3"/>
      <c r="G31" s="3"/>
      <c r="H31" s="3"/>
      <c r="I31" s="3"/>
      <c r="J31" s="3"/>
      <c r="K31" s="3"/>
      <c r="L31" s="3"/>
      <c r="M31" s="3"/>
      <c r="N31" s="3"/>
      <c r="O31" s="3"/>
    </row>
  </sheetData>
  <mergeCells count="1">
    <mergeCell ref="B27:O27"/>
  </mergeCells>
  <printOptions horizontalCentered="1"/>
  <pageMargins left="0.19" right="0.24" top="0.55000000000000004" bottom="0.56000000000000005" header="0.35" footer="0.2"/>
  <pageSetup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Y53"/>
  <sheetViews>
    <sheetView showGridLines="0" view="pageBreakPreview" zoomScale="60" zoomScaleNormal="100" workbookViewId="0">
      <selection activeCell="J75" sqref="J74:J75"/>
    </sheetView>
  </sheetViews>
  <sheetFormatPr defaultRowHeight="15" x14ac:dyDescent="0.25"/>
  <cols>
    <col min="1" max="1" width="3.5703125" customWidth="1"/>
    <col min="2" max="2" width="35" customWidth="1"/>
    <col min="5" max="5" width="33.42578125" customWidth="1"/>
    <col min="6" max="6" width="11.42578125" customWidth="1"/>
    <col min="9" max="9" width="35.7109375" bestFit="1" customWidth="1"/>
    <col min="11" max="12" width="10.140625" bestFit="1" customWidth="1"/>
    <col min="14" max="14" width="11.28515625" bestFit="1" customWidth="1"/>
    <col min="18" max="18" width="11.28515625" bestFit="1" customWidth="1"/>
    <col min="22" max="22" width="10.28515625" bestFit="1" customWidth="1"/>
    <col min="25" max="25" width="31.5703125" customWidth="1"/>
  </cols>
  <sheetData>
    <row r="1" spans="2:25" ht="18.75" customHeight="1" x14ac:dyDescent="0.25"/>
    <row r="2" spans="2:25" ht="18" x14ac:dyDescent="0.25">
      <c r="B2" s="171" t="s">
        <v>427</v>
      </c>
      <c r="C2" s="175"/>
      <c r="D2" s="171"/>
      <c r="E2" s="175"/>
      <c r="F2" s="175"/>
      <c r="G2" s="175"/>
      <c r="H2" s="175"/>
      <c r="I2" s="175"/>
      <c r="J2" s="175"/>
      <c r="K2" s="175"/>
      <c r="L2" s="175"/>
      <c r="M2" s="175"/>
      <c r="N2" s="377"/>
      <c r="O2" s="378"/>
      <c r="P2" s="377"/>
      <c r="Q2" s="377"/>
      <c r="R2" s="377"/>
      <c r="S2" s="378"/>
      <c r="T2" s="377"/>
      <c r="U2" s="377"/>
      <c r="V2" s="377"/>
      <c r="W2" s="377"/>
      <c r="X2" s="377"/>
      <c r="Y2" s="175"/>
    </row>
    <row r="3" spans="2:25" x14ac:dyDescent="0.25">
      <c r="B3" s="947" t="s">
        <v>759</v>
      </c>
      <c r="C3" s="379"/>
      <c r="D3" s="379"/>
      <c r="E3" s="379"/>
      <c r="F3" s="379"/>
      <c r="G3" s="379"/>
      <c r="H3" s="379"/>
      <c r="I3" s="379"/>
      <c r="J3" s="379"/>
      <c r="K3" s="379"/>
      <c r="L3" s="379"/>
      <c r="M3" s="379"/>
      <c r="N3" s="379"/>
      <c r="O3" s="379"/>
      <c r="P3" s="379"/>
      <c r="Q3" s="379"/>
      <c r="R3" s="379"/>
      <c r="S3" s="379"/>
      <c r="T3" s="379"/>
      <c r="U3" s="379"/>
      <c r="V3" s="379"/>
      <c r="W3" s="379"/>
      <c r="X3" s="379"/>
      <c r="Y3" s="379"/>
    </row>
    <row r="4" spans="2:25" ht="15.75" thickBot="1" x14ac:dyDescent="0.3">
      <c r="B4" s="379"/>
      <c r="C4" s="379"/>
      <c r="D4" s="379"/>
      <c r="E4" s="379"/>
      <c r="F4" s="379"/>
      <c r="G4" s="379"/>
      <c r="H4" s="379"/>
      <c r="I4" s="379"/>
      <c r="J4" s="379"/>
      <c r="K4" s="379"/>
      <c r="L4" s="379"/>
      <c r="M4" s="379"/>
      <c r="N4" s="379"/>
      <c r="O4" s="379"/>
      <c r="P4" s="379"/>
      <c r="Q4" s="379"/>
      <c r="R4" s="379"/>
      <c r="S4" s="379"/>
      <c r="T4" s="379"/>
      <c r="U4" s="379"/>
      <c r="V4" s="379"/>
      <c r="W4" s="379"/>
      <c r="X4" s="379"/>
      <c r="Y4" s="379"/>
    </row>
    <row r="5" spans="2:25" ht="15.75" thickBot="1" x14ac:dyDescent="0.3">
      <c r="B5" s="380" t="s">
        <v>259</v>
      </c>
      <c r="C5" s="381"/>
      <c r="D5" s="381"/>
      <c r="E5" s="381"/>
      <c r="F5" s="381"/>
      <c r="G5" s="381"/>
      <c r="H5" s="381"/>
      <c r="I5" s="381"/>
      <c r="J5" s="381"/>
      <c r="K5" s="381"/>
      <c r="L5" s="381"/>
      <c r="M5" s="381"/>
      <c r="N5" s="1121" t="s">
        <v>260</v>
      </c>
      <c r="O5" s="1122"/>
      <c r="P5" s="1122"/>
      <c r="Q5" s="1123"/>
      <c r="R5" s="1121" t="s">
        <v>261</v>
      </c>
      <c r="S5" s="1122"/>
      <c r="T5" s="1122"/>
      <c r="U5" s="1123"/>
      <c r="V5" s="1124" t="s">
        <v>262</v>
      </c>
      <c r="W5" s="1125"/>
      <c r="X5" s="1125"/>
      <c r="Y5" s="1126"/>
    </row>
    <row r="6" spans="2:25" x14ac:dyDescent="0.25">
      <c r="B6" s="1127" t="s">
        <v>263</v>
      </c>
      <c r="C6" s="1129" t="s">
        <v>264</v>
      </c>
      <c r="D6" s="1129" t="s">
        <v>265</v>
      </c>
      <c r="E6" s="1129" t="s">
        <v>266</v>
      </c>
      <c r="F6" s="1132" t="s">
        <v>267</v>
      </c>
      <c r="G6" s="1129" t="s">
        <v>4</v>
      </c>
      <c r="H6" s="1129" t="s">
        <v>138</v>
      </c>
      <c r="I6" s="1129" t="s">
        <v>268</v>
      </c>
      <c r="J6" s="1129" t="s">
        <v>269</v>
      </c>
      <c r="K6" s="1134" t="s">
        <v>270</v>
      </c>
      <c r="L6" s="1135"/>
      <c r="M6" s="1136"/>
      <c r="N6" s="1137" t="s">
        <v>271</v>
      </c>
      <c r="O6" s="1139" t="s">
        <v>272</v>
      </c>
      <c r="P6" s="1149" t="s">
        <v>273</v>
      </c>
      <c r="Q6" s="1145" t="s">
        <v>274</v>
      </c>
      <c r="R6" s="1147" t="s">
        <v>275</v>
      </c>
      <c r="S6" s="1149" t="s">
        <v>272</v>
      </c>
      <c r="T6" s="1151" t="s">
        <v>276</v>
      </c>
      <c r="U6" s="1145" t="s">
        <v>274</v>
      </c>
      <c r="V6" s="1153" t="s">
        <v>277</v>
      </c>
      <c r="W6" s="1141" t="s">
        <v>278</v>
      </c>
      <c r="X6" s="1141" t="s">
        <v>279</v>
      </c>
      <c r="Y6" s="1143" t="s">
        <v>280</v>
      </c>
    </row>
    <row r="7" spans="2:25" ht="39" thickBot="1" x14ac:dyDescent="0.3">
      <c r="B7" s="1128"/>
      <c r="C7" s="1130"/>
      <c r="D7" s="1130"/>
      <c r="E7" s="1131"/>
      <c r="F7" s="1133"/>
      <c r="G7" s="1130"/>
      <c r="H7" s="1130"/>
      <c r="I7" s="1130"/>
      <c r="J7" s="1130"/>
      <c r="K7" s="382" t="s">
        <v>281</v>
      </c>
      <c r="L7" s="383" t="s">
        <v>282</v>
      </c>
      <c r="M7" s="384" t="s">
        <v>283</v>
      </c>
      <c r="N7" s="1138"/>
      <c r="O7" s="1140"/>
      <c r="P7" s="1155"/>
      <c r="Q7" s="1146"/>
      <c r="R7" s="1148"/>
      <c r="S7" s="1150"/>
      <c r="T7" s="1152"/>
      <c r="U7" s="1146"/>
      <c r="V7" s="1154"/>
      <c r="W7" s="1142"/>
      <c r="X7" s="1142"/>
      <c r="Y7" s="1144"/>
    </row>
    <row r="8" spans="2:25" s="856" customFormat="1" ht="25.5" x14ac:dyDescent="0.2">
      <c r="B8" s="385" t="s">
        <v>908</v>
      </c>
      <c r="C8" s="848" t="s">
        <v>348</v>
      </c>
      <c r="D8" s="848" t="s">
        <v>348</v>
      </c>
      <c r="E8" s="855" t="s">
        <v>953</v>
      </c>
      <c r="F8" s="922" t="s">
        <v>954</v>
      </c>
      <c r="G8" s="923" t="s">
        <v>790</v>
      </c>
      <c r="H8" s="848">
        <v>2799</v>
      </c>
      <c r="I8" s="952" t="s">
        <v>964</v>
      </c>
      <c r="J8" s="848"/>
      <c r="K8" s="924">
        <v>39427</v>
      </c>
      <c r="L8" s="924">
        <v>42714</v>
      </c>
      <c r="M8" s="921">
        <v>9</v>
      </c>
      <c r="N8" s="925">
        <v>1381100</v>
      </c>
      <c r="O8" s="388"/>
      <c r="P8" s="919">
        <v>0</v>
      </c>
      <c r="Q8" s="390"/>
      <c r="R8" s="925">
        <v>883700</v>
      </c>
      <c r="S8" s="388"/>
      <c r="T8" s="389">
        <v>0</v>
      </c>
      <c r="U8" s="390"/>
      <c r="V8" s="391">
        <f>R8-N8</f>
        <v>-497400</v>
      </c>
      <c r="W8" s="392">
        <v>0</v>
      </c>
      <c r="X8" s="393">
        <v>0</v>
      </c>
      <c r="Y8" s="927" t="s">
        <v>963</v>
      </c>
    </row>
    <row r="9" spans="2:25" s="856" customFormat="1" ht="12.75" x14ac:dyDescent="0.2">
      <c r="B9" s="917"/>
      <c r="C9" s="918"/>
      <c r="D9" s="918"/>
      <c r="E9" s="916"/>
      <c r="F9" s="309"/>
      <c r="G9" s="918"/>
      <c r="H9" s="918"/>
      <c r="I9" s="851"/>
      <c r="J9" s="851"/>
      <c r="K9" s="851"/>
      <c r="L9" s="851"/>
      <c r="M9" s="851"/>
      <c r="N9" s="920"/>
      <c r="O9" s="399"/>
      <c r="P9" s="919">
        <v>0</v>
      </c>
      <c r="Q9" s="401"/>
      <c r="R9" s="398"/>
      <c r="S9" s="399"/>
      <c r="T9" s="400">
        <v>0</v>
      </c>
      <c r="U9" s="401"/>
      <c r="V9" s="402">
        <v>0</v>
      </c>
      <c r="W9" s="403">
        <v>0</v>
      </c>
      <c r="X9" s="404">
        <v>0</v>
      </c>
      <c r="Y9" s="405"/>
    </row>
    <row r="10" spans="2:25" s="856" customFormat="1" ht="12.75" x14ac:dyDescent="0.2">
      <c r="B10" s="917"/>
      <c r="C10" s="918"/>
      <c r="D10" s="918"/>
      <c r="E10" s="916"/>
      <c r="F10" s="309"/>
      <c r="G10" s="918"/>
      <c r="H10" s="918"/>
      <c r="I10" s="851"/>
      <c r="J10" s="851"/>
      <c r="K10" s="851"/>
      <c r="L10" s="851"/>
      <c r="M10" s="851"/>
      <c r="N10" s="920"/>
      <c r="O10" s="399"/>
      <c r="P10" s="919">
        <v>0</v>
      </c>
      <c r="Q10" s="401"/>
      <c r="R10" s="398"/>
      <c r="S10" s="399"/>
      <c r="T10" s="400">
        <v>0</v>
      </c>
      <c r="U10" s="401"/>
      <c r="V10" s="402">
        <v>0</v>
      </c>
      <c r="W10" s="403">
        <v>0</v>
      </c>
      <c r="X10" s="404">
        <v>0</v>
      </c>
      <c r="Y10" s="405"/>
    </row>
    <row r="11" spans="2:25" s="856" customFormat="1" ht="12.75" hidden="1" x14ac:dyDescent="0.2">
      <c r="B11" s="917"/>
      <c r="C11" s="918"/>
      <c r="D11" s="918"/>
      <c r="E11" s="916"/>
      <c r="F11" s="309"/>
      <c r="G11" s="918"/>
      <c r="H11" s="918"/>
      <c r="I11" s="851"/>
      <c r="J11" s="851"/>
      <c r="K11" s="851"/>
      <c r="L11" s="851"/>
      <c r="M11" s="851"/>
      <c r="N11" s="920"/>
      <c r="O11" s="399"/>
      <c r="P11" s="919">
        <v>0</v>
      </c>
      <c r="Q11" s="401"/>
      <c r="R11" s="398"/>
      <c r="S11" s="399"/>
      <c r="T11" s="400">
        <v>0</v>
      </c>
      <c r="U11" s="401"/>
      <c r="V11" s="402">
        <v>0</v>
      </c>
      <c r="W11" s="403">
        <v>0</v>
      </c>
      <c r="X11" s="404">
        <v>0</v>
      </c>
      <c r="Y11" s="405"/>
    </row>
    <row r="12" spans="2:25" s="856" customFormat="1" ht="12.75" hidden="1" x14ac:dyDescent="0.2">
      <c r="B12" s="850"/>
      <c r="C12" s="851"/>
      <c r="D12" s="852"/>
      <c r="E12" s="855"/>
      <c r="F12" s="852"/>
      <c r="G12" s="851"/>
      <c r="H12" s="851"/>
      <c r="I12" s="851"/>
      <c r="J12" s="851"/>
      <c r="K12" s="851"/>
      <c r="L12" s="851"/>
      <c r="M12" s="851"/>
      <c r="N12" s="920"/>
      <c r="O12" s="399"/>
      <c r="P12" s="919">
        <v>0</v>
      </c>
      <c r="Q12" s="401"/>
      <c r="R12" s="398"/>
      <c r="S12" s="399"/>
      <c r="T12" s="400"/>
      <c r="U12" s="401"/>
      <c r="V12" s="402"/>
      <c r="W12" s="403"/>
      <c r="X12" s="404"/>
      <c r="Y12" s="405"/>
    </row>
    <row r="13" spans="2:25" s="856" customFormat="1" ht="12.75" hidden="1" x14ac:dyDescent="0.2">
      <c r="B13" s="850"/>
      <c r="C13" s="851"/>
      <c r="D13" s="857"/>
      <c r="E13" s="851"/>
      <c r="F13" s="852"/>
      <c r="G13" s="851"/>
      <c r="H13" s="851"/>
      <c r="I13" s="851"/>
      <c r="J13" s="851"/>
      <c r="K13" s="851"/>
      <c r="L13" s="851"/>
      <c r="M13" s="851"/>
      <c r="N13" s="920"/>
      <c r="O13" s="399"/>
      <c r="P13" s="919">
        <v>0</v>
      </c>
      <c r="Q13" s="401"/>
      <c r="R13" s="398"/>
      <c r="S13" s="399"/>
      <c r="T13" s="400">
        <v>0</v>
      </c>
      <c r="U13" s="401"/>
      <c r="V13" s="402">
        <v>0</v>
      </c>
      <c r="W13" s="403">
        <v>0</v>
      </c>
      <c r="X13" s="404">
        <v>0</v>
      </c>
      <c r="Y13" s="405"/>
    </row>
    <row r="14" spans="2:25" hidden="1" x14ac:dyDescent="0.25">
      <c r="B14" s="395"/>
      <c r="C14" s="396"/>
      <c r="D14" s="396"/>
      <c r="E14" s="396"/>
      <c r="F14" s="397"/>
      <c r="G14" s="396"/>
      <c r="H14" s="396"/>
      <c r="I14" s="396"/>
      <c r="J14" s="396"/>
      <c r="K14" s="396"/>
      <c r="L14" s="396"/>
      <c r="M14" s="396"/>
      <c r="N14" s="398"/>
      <c r="O14" s="399"/>
      <c r="P14" s="400">
        <v>0</v>
      </c>
      <c r="Q14" s="401"/>
      <c r="R14" s="398"/>
      <c r="S14" s="399"/>
      <c r="T14" s="400">
        <v>0</v>
      </c>
      <c r="U14" s="401"/>
      <c r="V14" s="402">
        <v>0</v>
      </c>
      <c r="W14" s="403">
        <v>0</v>
      </c>
      <c r="X14" s="404">
        <v>0</v>
      </c>
      <c r="Y14" s="405"/>
    </row>
    <row r="15" spans="2:25" hidden="1" x14ac:dyDescent="0.25">
      <c r="B15" s="395"/>
      <c r="C15" s="396"/>
      <c r="D15" s="396"/>
      <c r="E15" s="396"/>
      <c r="F15" s="397"/>
      <c r="G15" s="396"/>
      <c r="H15" s="396"/>
      <c r="I15" s="396"/>
      <c r="J15" s="396"/>
      <c r="K15" s="396"/>
      <c r="L15" s="396"/>
      <c r="M15" s="396"/>
      <c r="N15" s="398"/>
      <c r="O15" s="399"/>
      <c r="P15" s="400">
        <v>0</v>
      </c>
      <c r="Q15" s="401"/>
      <c r="R15" s="398"/>
      <c r="S15" s="399"/>
      <c r="T15" s="400">
        <v>0</v>
      </c>
      <c r="U15" s="401"/>
      <c r="V15" s="402">
        <v>0</v>
      </c>
      <c r="W15" s="403">
        <v>0</v>
      </c>
      <c r="X15" s="404">
        <v>0</v>
      </c>
      <c r="Y15" s="405"/>
    </row>
    <row r="16" spans="2:25" hidden="1" x14ac:dyDescent="0.25">
      <c r="B16" s="395"/>
      <c r="C16" s="396"/>
      <c r="D16" s="396"/>
      <c r="E16" s="396"/>
      <c r="F16" s="397"/>
      <c r="G16" s="396"/>
      <c r="H16" s="396"/>
      <c r="I16" s="396"/>
      <c r="J16" s="396"/>
      <c r="K16" s="396"/>
      <c r="L16" s="396"/>
      <c r="M16" s="396"/>
      <c r="N16" s="398"/>
      <c r="O16" s="399"/>
      <c r="P16" s="400">
        <v>0</v>
      </c>
      <c r="Q16" s="401"/>
      <c r="R16" s="398"/>
      <c r="S16" s="399"/>
      <c r="T16" s="400">
        <v>0</v>
      </c>
      <c r="U16" s="401"/>
      <c r="V16" s="402">
        <v>0</v>
      </c>
      <c r="W16" s="403">
        <v>0</v>
      </c>
      <c r="X16" s="404">
        <v>0</v>
      </c>
      <c r="Y16" s="405"/>
    </row>
    <row r="17" spans="2:25" hidden="1" x14ac:dyDescent="0.25">
      <c r="B17" s="395"/>
      <c r="C17" s="396"/>
      <c r="D17" s="396"/>
      <c r="E17" s="396"/>
      <c r="F17" s="397"/>
      <c r="G17" s="396"/>
      <c r="H17" s="396"/>
      <c r="I17" s="396"/>
      <c r="J17" s="396"/>
      <c r="K17" s="396"/>
      <c r="L17" s="396"/>
      <c r="M17" s="396"/>
      <c r="N17" s="398"/>
      <c r="O17" s="399"/>
      <c r="P17" s="400">
        <v>0</v>
      </c>
      <c r="Q17" s="401"/>
      <c r="R17" s="398"/>
      <c r="S17" s="399"/>
      <c r="T17" s="400">
        <v>0</v>
      </c>
      <c r="U17" s="401"/>
      <c r="V17" s="402">
        <v>0</v>
      </c>
      <c r="W17" s="403">
        <v>0</v>
      </c>
      <c r="X17" s="404">
        <v>0</v>
      </c>
      <c r="Y17" s="405"/>
    </row>
    <row r="18" spans="2:25" hidden="1" x14ac:dyDescent="0.25">
      <c r="B18" s="395"/>
      <c r="C18" s="396"/>
      <c r="D18" s="396"/>
      <c r="E18" s="396"/>
      <c r="F18" s="397"/>
      <c r="G18" s="396"/>
      <c r="H18" s="396"/>
      <c r="I18" s="396"/>
      <c r="J18" s="396"/>
      <c r="K18" s="396"/>
      <c r="L18" s="396"/>
      <c r="M18" s="396"/>
      <c r="N18" s="398"/>
      <c r="O18" s="399"/>
      <c r="P18" s="400">
        <v>0</v>
      </c>
      <c r="Q18" s="401"/>
      <c r="R18" s="398"/>
      <c r="S18" s="399"/>
      <c r="T18" s="400">
        <v>0</v>
      </c>
      <c r="U18" s="401"/>
      <c r="V18" s="402">
        <v>0</v>
      </c>
      <c r="W18" s="403">
        <v>0</v>
      </c>
      <c r="X18" s="404">
        <v>0</v>
      </c>
      <c r="Y18" s="405"/>
    </row>
    <row r="19" spans="2:25" hidden="1" x14ac:dyDescent="0.25">
      <c r="B19" s="395"/>
      <c r="C19" s="396"/>
      <c r="D19" s="396"/>
      <c r="E19" s="396"/>
      <c r="F19" s="397"/>
      <c r="G19" s="396"/>
      <c r="H19" s="396"/>
      <c r="I19" s="396"/>
      <c r="J19" s="396"/>
      <c r="K19" s="396"/>
      <c r="L19" s="396"/>
      <c r="M19" s="396"/>
      <c r="N19" s="398"/>
      <c r="O19" s="399"/>
      <c r="P19" s="400">
        <v>0</v>
      </c>
      <c r="Q19" s="401"/>
      <c r="R19" s="398"/>
      <c r="S19" s="399"/>
      <c r="T19" s="400">
        <v>0</v>
      </c>
      <c r="U19" s="401"/>
      <c r="V19" s="402">
        <v>0</v>
      </c>
      <c r="W19" s="403">
        <v>0</v>
      </c>
      <c r="X19" s="404">
        <v>0</v>
      </c>
      <c r="Y19" s="405"/>
    </row>
    <row r="20" spans="2:25" hidden="1" x14ac:dyDescent="0.25">
      <c r="B20" s="395"/>
      <c r="C20" s="396"/>
      <c r="D20" s="396"/>
      <c r="E20" s="396"/>
      <c r="F20" s="397"/>
      <c r="G20" s="396"/>
      <c r="H20" s="396"/>
      <c r="I20" s="396"/>
      <c r="J20" s="396"/>
      <c r="K20" s="396"/>
      <c r="L20" s="396"/>
      <c r="M20" s="396"/>
      <c r="N20" s="398"/>
      <c r="O20" s="399"/>
      <c r="P20" s="400">
        <v>0</v>
      </c>
      <c r="Q20" s="401"/>
      <c r="R20" s="398"/>
      <c r="S20" s="399"/>
      <c r="T20" s="400">
        <v>0</v>
      </c>
      <c r="U20" s="401"/>
      <c r="V20" s="402">
        <v>0</v>
      </c>
      <c r="W20" s="403">
        <v>0</v>
      </c>
      <c r="X20" s="404">
        <v>0</v>
      </c>
      <c r="Y20" s="405"/>
    </row>
    <row r="21" spans="2:25" hidden="1" x14ac:dyDescent="0.25">
      <c r="B21" s="395"/>
      <c r="C21" s="396"/>
      <c r="D21" s="396"/>
      <c r="E21" s="396"/>
      <c r="F21" s="397"/>
      <c r="G21" s="396"/>
      <c r="H21" s="396"/>
      <c r="I21" s="396"/>
      <c r="J21" s="396"/>
      <c r="K21" s="396"/>
      <c r="L21" s="396"/>
      <c r="M21" s="396"/>
      <c r="N21" s="398"/>
      <c r="O21" s="399"/>
      <c r="P21" s="400">
        <v>0</v>
      </c>
      <c r="Q21" s="401"/>
      <c r="R21" s="398"/>
      <c r="S21" s="399"/>
      <c r="T21" s="400">
        <v>0</v>
      </c>
      <c r="U21" s="401"/>
      <c r="V21" s="402">
        <v>0</v>
      </c>
      <c r="W21" s="403">
        <v>0</v>
      </c>
      <c r="X21" s="404">
        <v>0</v>
      </c>
      <c r="Y21" s="405"/>
    </row>
    <row r="22" spans="2:25" hidden="1" x14ac:dyDescent="0.25">
      <c r="B22" s="395"/>
      <c r="C22" s="396"/>
      <c r="D22" s="396"/>
      <c r="E22" s="396"/>
      <c r="F22" s="397"/>
      <c r="G22" s="396"/>
      <c r="H22" s="396"/>
      <c r="I22" s="396"/>
      <c r="J22" s="396"/>
      <c r="K22" s="396"/>
      <c r="L22" s="396"/>
      <c r="M22" s="396"/>
      <c r="N22" s="398"/>
      <c r="O22" s="399"/>
      <c r="P22" s="400">
        <v>0</v>
      </c>
      <c r="Q22" s="401"/>
      <c r="R22" s="398"/>
      <c r="S22" s="399"/>
      <c r="T22" s="400">
        <v>0</v>
      </c>
      <c r="U22" s="401"/>
      <c r="V22" s="402">
        <v>0</v>
      </c>
      <c r="W22" s="403">
        <v>0</v>
      </c>
      <c r="X22" s="404">
        <v>0</v>
      </c>
      <c r="Y22" s="405"/>
    </row>
    <row r="23" spans="2:25" hidden="1" x14ac:dyDescent="0.25">
      <c r="B23" s="395"/>
      <c r="C23" s="396"/>
      <c r="D23" s="396"/>
      <c r="E23" s="396"/>
      <c r="F23" s="397"/>
      <c r="G23" s="396"/>
      <c r="H23" s="396"/>
      <c r="I23" s="396"/>
      <c r="J23" s="396"/>
      <c r="K23" s="396"/>
      <c r="L23" s="396"/>
      <c r="M23" s="396"/>
      <c r="N23" s="398"/>
      <c r="O23" s="399"/>
      <c r="P23" s="400">
        <v>0</v>
      </c>
      <c r="Q23" s="401"/>
      <c r="R23" s="398"/>
      <c r="S23" s="399"/>
      <c r="T23" s="400">
        <v>0</v>
      </c>
      <c r="U23" s="401"/>
      <c r="V23" s="402">
        <v>0</v>
      </c>
      <c r="W23" s="403">
        <v>0</v>
      </c>
      <c r="X23" s="404">
        <v>0</v>
      </c>
      <c r="Y23" s="405"/>
    </row>
    <row r="24" spans="2:25" x14ac:dyDescent="0.25">
      <c r="B24" s="395"/>
      <c r="C24" s="396"/>
      <c r="D24" s="396"/>
      <c r="E24" s="396"/>
      <c r="F24" s="397"/>
      <c r="G24" s="396"/>
      <c r="H24" s="396"/>
      <c r="I24" s="396"/>
      <c r="J24" s="396"/>
      <c r="K24" s="396"/>
      <c r="L24" s="396"/>
      <c r="M24" s="396"/>
      <c r="N24" s="398"/>
      <c r="O24" s="399"/>
      <c r="P24" s="400">
        <v>0</v>
      </c>
      <c r="Q24" s="401"/>
      <c r="R24" s="398"/>
      <c r="S24" s="399"/>
      <c r="T24" s="400">
        <v>0</v>
      </c>
      <c r="U24" s="401"/>
      <c r="V24" s="402">
        <v>0</v>
      </c>
      <c r="W24" s="403">
        <v>0</v>
      </c>
      <c r="X24" s="404">
        <v>0</v>
      </c>
      <c r="Y24" s="405"/>
    </row>
    <row r="25" spans="2:25" x14ac:dyDescent="0.25">
      <c r="B25" s="395"/>
      <c r="C25" s="396"/>
      <c r="D25" s="396"/>
      <c r="E25" s="396"/>
      <c r="F25" s="397"/>
      <c r="G25" s="396"/>
      <c r="H25" s="396"/>
      <c r="I25" s="396"/>
      <c r="J25" s="396"/>
      <c r="K25" s="396"/>
      <c r="L25" s="396"/>
      <c r="M25" s="396"/>
      <c r="N25" s="398"/>
      <c r="O25" s="399"/>
      <c r="P25" s="400">
        <v>0</v>
      </c>
      <c r="Q25" s="401"/>
      <c r="R25" s="398"/>
      <c r="S25" s="399"/>
      <c r="T25" s="400">
        <v>0</v>
      </c>
      <c r="U25" s="401"/>
      <c r="V25" s="402">
        <v>0</v>
      </c>
      <c r="W25" s="403">
        <v>0</v>
      </c>
      <c r="X25" s="404">
        <v>0</v>
      </c>
      <c r="Y25" s="405"/>
    </row>
    <row r="26" spans="2:25" ht="15.75" thickBot="1" x14ac:dyDescent="0.3">
      <c r="B26" s="406"/>
      <c r="C26" s="407"/>
      <c r="D26" s="407"/>
      <c r="E26" s="407"/>
      <c r="F26" s="408"/>
      <c r="G26" s="407"/>
      <c r="H26" s="407"/>
      <c r="I26" s="407"/>
      <c r="J26" s="407"/>
      <c r="K26" s="407"/>
      <c r="L26" s="407"/>
      <c r="M26" s="407"/>
      <c r="N26" s="409"/>
      <c r="O26" s="410"/>
      <c r="P26" s="411">
        <v>0</v>
      </c>
      <c r="Q26" s="412"/>
      <c r="R26" s="409"/>
      <c r="S26" s="410"/>
      <c r="T26" s="411">
        <v>0</v>
      </c>
      <c r="U26" s="412"/>
      <c r="V26" s="413">
        <v>0</v>
      </c>
      <c r="W26" s="414">
        <v>0</v>
      </c>
      <c r="X26" s="415">
        <v>0</v>
      </c>
      <c r="Y26" s="416"/>
    </row>
    <row r="27" spans="2:25" ht="15.75" thickBot="1" x14ac:dyDescent="0.3">
      <c r="B27" s="55"/>
      <c r="C27" s="55"/>
      <c r="D27" s="55"/>
      <c r="E27" s="55"/>
      <c r="F27" s="55"/>
      <c r="G27" s="55"/>
      <c r="H27" s="55"/>
      <c r="I27" s="55"/>
      <c r="J27" s="55"/>
      <c r="K27" s="55"/>
      <c r="L27" s="55"/>
      <c r="M27" s="55"/>
      <c r="N27" s="417">
        <f>SUM(N8:N26)</f>
        <v>1381100</v>
      </c>
      <c r="O27" s="417">
        <f t="shared" ref="O27:X27" si="0">SUM(O8:O26)</f>
        <v>0</v>
      </c>
      <c r="P27" s="417">
        <f t="shared" si="0"/>
        <v>0</v>
      </c>
      <c r="Q27" s="417">
        <f t="shared" si="0"/>
        <v>0</v>
      </c>
      <c r="R27" s="417">
        <f t="shared" si="0"/>
        <v>883700</v>
      </c>
      <c r="S27" s="417">
        <f t="shared" si="0"/>
        <v>0</v>
      </c>
      <c r="T27" s="417">
        <f t="shared" si="0"/>
        <v>0</v>
      </c>
      <c r="U27" s="417">
        <f t="shared" si="0"/>
        <v>0</v>
      </c>
      <c r="V27" s="417">
        <f t="shared" si="0"/>
        <v>-497400</v>
      </c>
      <c r="W27" s="417">
        <f t="shared" si="0"/>
        <v>0</v>
      </c>
      <c r="X27" s="417">
        <f t="shared" si="0"/>
        <v>0</v>
      </c>
      <c r="Y27" s="421"/>
    </row>
    <row r="28" spans="2:25" x14ac:dyDescent="0.25">
      <c r="B28" s="379"/>
      <c r="C28" s="379"/>
      <c r="D28" s="379"/>
      <c r="E28" s="379"/>
      <c r="F28" s="379"/>
      <c r="G28" s="379"/>
      <c r="H28" s="379"/>
      <c r="I28" s="379"/>
      <c r="J28" s="379"/>
      <c r="K28" s="379"/>
      <c r="L28" s="379"/>
      <c r="M28" s="379"/>
      <c r="N28" s="929"/>
      <c r="O28" s="379"/>
      <c r="P28" s="379"/>
      <c r="Q28" s="379"/>
      <c r="R28" s="379"/>
      <c r="S28" s="379"/>
      <c r="T28" s="379"/>
      <c r="U28" s="422"/>
      <c r="V28" s="379"/>
      <c r="W28" s="379"/>
      <c r="X28" s="379"/>
      <c r="Y28" s="379"/>
    </row>
    <row r="29" spans="2:25" ht="15.75" thickBot="1" x14ac:dyDescent="0.3">
      <c r="B29" s="379"/>
      <c r="C29" s="379"/>
      <c r="D29" s="423"/>
      <c r="E29" s="379"/>
      <c r="F29" s="379"/>
      <c r="G29" s="379"/>
      <c r="H29" s="379"/>
      <c r="I29" s="379"/>
      <c r="J29" s="379"/>
      <c r="K29" s="379"/>
      <c r="L29" s="379"/>
      <c r="M29" s="379"/>
      <c r="N29" s="379"/>
      <c r="O29" s="379"/>
      <c r="P29" s="379"/>
      <c r="Q29" s="379"/>
      <c r="R29" s="379"/>
      <c r="S29" s="379"/>
      <c r="T29" s="379"/>
      <c r="U29" s="379"/>
      <c r="V29" s="379"/>
      <c r="W29" s="379"/>
      <c r="X29" s="379"/>
      <c r="Y29" s="379"/>
    </row>
    <row r="30" spans="2:25" ht="15.75" thickBot="1" x14ac:dyDescent="0.3">
      <c r="B30" s="380" t="s">
        <v>284</v>
      </c>
      <c r="C30" s="381"/>
      <c r="D30" s="381"/>
      <c r="E30" s="381"/>
      <c r="F30" s="381"/>
      <c r="G30" s="381"/>
      <c r="H30" s="381"/>
      <c r="I30" s="381"/>
      <c r="J30" s="381"/>
      <c r="K30" s="381"/>
      <c r="L30" s="381"/>
      <c r="M30" s="381"/>
      <c r="N30" s="1121" t="s">
        <v>285</v>
      </c>
      <c r="O30" s="1122"/>
      <c r="P30" s="1122"/>
      <c r="Q30" s="1123"/>
      <c r="R30" s="1121" t="s">
        <v>286</v>
      </c>
      <c r="S30" s="1122"/>
      <c r="T30" s="1122"/>
      <c r="U30" s="1123"/>
      <c r="V30" s="1124" t="s">
        <v>262</v>
      </c>
      <c r="W30" s="1125"/>
      <c r="X30" s="1125"/>
      <c r="Y30" s="1126"/>
    </row>
    <row r="31" spans="2:25" x14ac:dyDescent="0.25">
      <c r="B31" s="1127" t="s">
        <v>263</v>
      </c>
      <c r="C31" s="1129" t="s">
        <v>264</v>
      </c>
      <c r="D31" s="1129" t="s">
        <v>287</v>
      </c>
      <c r="E31" s="1129" t="s">
        <v>266</v>
      </c>
      <c r="F31" s="1132" t="s">
        <v>267</v>
      </c>
      <c r="G31" s="1129" t="s">
        <v>4</v>
      </c>
      <c r="H31" s="1129" t="s">
        <v>138</v>
      </c>
      <c r="I31" s="1129" t="s">
        <v>268</v>
      </c>
      <c r="J31" s="1129" t="s">
        <v>269</v>
      </c>
      <c r="K31" s="1134" t="s">
        <v>270</v>
      </c>
      <c r="L31" s="1135"/>
      <c r="M31" s="1136"/>
      <c r="N31" s="1156" t="s">
        <v>271</v>
      </c>
      <c r="O31" s="1139" t="s">
        <v>272</v>
      </c>
      <c r="P31" s="1149" t="s">
        <v>273</v>
      </c>
      <c r="Q31" s="1145" t="s">
        <v>274</v>
      </c>
      <c r="R31" s="1147" t="s">
        <v>275</v>
      </c>
      <c r="S31" s="1149" t="s">
        <v>272</v>
      </c>
      <c r="T31" s="1151" t="s">
        <v>276</v>
      </c>
      <c r="U31" s="1145" t="s">
        <v>274</v>
      </c>
      <c r="V31" s="1153" t="s">
        <v>277</v>
      </c>
      <c r="W31" s="1141" t="s">
        <v>278</v>
      </c>
      <c r="X31" s="1141" t="s">
        <v>279</v>
      </c>
      <c r="Y31" s="1143" t="s">
        <v>280</v>
      </c>
    </row>
    <row r="32" spans="2:25" ht="39" thickBot="1" x14ac:dyDescent="0.3">
      <c r="B32" s="1128"/>
      <c r="C32" s="1130"/>
      <c r="D32" s="1130"/>
      <c r="E32" s="1130"/>
      <c r="F32" s="1133"/>
      <c r="G32" s="1130"/>
      <c r="H32" s="1130"/>
      <c r="I32" s="1130"/>
      <c r="J32" s="1130"/>
      <c r="K32" s="382" t="s">
        <v>281</v>
      </c>
      <c r="L32" s="383" t="s">
        <v>282</v>
      </c>
      <c r="M32" s="384" t="s">
        <v>283</v>
      </c>
      <c r="N32" s="1138"/>
      <c r="O32" s="1140"/>
      <c r="P32" s="1150"/>
      <c r="Q32" s="1146"/>
      <c r="R32" s="1148"/>
      <c r="S32" s="1150"/>
      <c r="T32" s="1152"/>
      <c r="U32" s="1146"/>
      <c r="V32" s="1154"/>
      <c r="W32" s="1142"/>
      <c r="X32" s="1142"/>
      <c r="Y32" s="1144"/>
    </row>
    <row r="33" spans="2:25" s="856" customFormat="1" ht="25.5" x14ac:dyDescent="0.2">
      <c r="B33" s="385" t="s">
        <v>908</v>
      </c>
      <c r="C33" s="848" t="s">
        <v>348</v>
      </c>
      <c r="D33" s="848" t="s">
        <v>348</v>
      </c>
      <c r="E33" s="855" t="s">
        <v>953</v>
      </c>
      <c r="F33" s="922" t="s">
        <v>954</v>
      </c>
      <c r="G33" s="923" t="s">
        <v>790</v>
      </c>
      <c r="H33" s="848">
        <v>2799</v>
      </c>
      <c r="I33" s="952" t="s">
        <v>964</v>
      </c>
      <c r="J33" s="848"/>
      <c r="K33" s="924">
        <v>39427</v>
      </c>
      <c r="L33" s="924">
        <v>42714</v>
      </c>
      <c r="M33" s="921">
        <v>9</v>
      </c>
      <c r="N33" s="925">
        <v>883700</v>
      </c>
      <c r="O33" s="388"/>
      <c r="P33" s="389">
        <v>0</v>
      </c>
      <c r="Q33" s="390"/>
      <c r="R33" s="925">
        <v>1381100</v>
      </c>
      <c r="S33" s="388"/>
      <c r="T33" s="389">
        <v>0</v>
      </c>
      <c r="U33" s="390"/>
      <c r="V33" s="391">
        <f>R33-N33</f>
        <v>497400</v>
      </c>
      <c r="W33" s="392">
        <v>0</v>
      </c>
      <c r="X33" s="393">
        <v>0</v>
      </c>
      <c r="Y33" s="928" t="s">
        <v>965</v>
      </c>
    </row>
    <row r="34" spans="2:25" s="856" customFormat="1" ht="12.75" x14ac:dyDescent="0.2">
      <c r="B34" s="917"/>
      <c r="C34" s="851"/>
      <c r="D34" s="851"/>
      <c r="E34" s="855"/>
      <c r="F34" s="852"/>
      <c r="G34" s="851"/>
      <c r="H34" s="851"/>
      <c r="I34" s="851"/>
      <c r="J34" s="851"/>
      <c r="K34" s="851"/>
      <c r="L34" s="851"/>
      <c r="M34" s="851"/>
      <c r="N34" s="398"/>
      <c r="O34" s="399"/>
      <c r="P34" s="400"/>
      <c r="Q34" s="401"/>
      <c r="R34" s="398"/>
      <c r="S34" s="399"/>
      <c r="T34" s="400"/>
      <c r="U34" s="401"/>
      <c r="V34" s="402">
        <v>0</v>
      </c>
      <c r="W34" s="403">
        <v>0</v>
      </c>
      <c r="X34" s="404">
        <v>0</v>
      </c>
      <c r="Y34" s="405"/>
    </row>
    <row r="35" spans="2:25" s="856" customFormat="1" ht="12.75" x14ac:dyDescent="0.2">
      <c r="B35" s="917"/>
      <c r="C35" s="851"/>
      <c r="D35" s="851"/>
      <c r="E35" s="855"/>
      <c r="F35" s="852"/>
      <c r="G35" s="851"/>
      <c r="H35" s="851"/>
      <c r="I35" s="851"/>
      <c r="J35" s="851"/>
      <c r="K35" s="851"/>
      <c r="L35" s="851"/>
      <c r="M35" s="851"/>
      <c r="N35" s="398"/>
      <c r="O35" s="399"/>
      <c r="P35" s="400"/>
      <c r="Q35" s="401"/>
      <c r="R35" s="398"/>
      <c r="S35" s="399"/>
      <c r="T35" s="400"/>
      <c r="U35" s="401"/>
      <c r="V35" s="402">
        <v>0</v>
      </c>
      <c r="W35" s="403">
        <v>0</v>
      </c>
      <c r="X35" s="404">
        <v>0</v>
      </c>
      <c r="Y35" s="405"/>
    </row>
    <row r="36" spans="2:25" s="856" customFormat="1" ht="12.75" hidden="1" x14ac:dyDescent="0.2">
      <c r="B36" s="917"/>
      <c r="C36" s="851"/>
      <c r="D36" s="851"/>
      <c r="E36" s="855"/>
      <c r="F36" s="852"/>
      <c r="G36" s="851"/>
      <c r="H36" s="851"/>
      <c r="I36" s="851"/>
      <c r="J36" s="851"/>
      <c r="K36" s="851"/>
      <c r="L36" s="851"/>
      <c r="M36" s="851"/>
      <c r="N36" s="398"/>
      <c r="O36" s="399"/>
      <c r="P36" s="400"/>
      <c r="Q36" s="401"/>
      <c r="R36" s="398"/>
      <c r="S36" s="399"/>
      <c r="T36" s="400"/>
      <c r="U36" s="401"/>
      <c r="V36" s="402">
        <v>0</v>
      </c>
      <c r="W36" s="403">
        <v>0</v>
      </c>
      <c r="X36" s="404">
        <v>0</v>
      </c>
      <c r="Y36" s="405"/>
    </row>
    <row r="37" spans="2:25" s="856" customFormat="1" ht="12.75" hidden="1" x14ac:dyDescent="0.2">
      <c r="B37" s="850"/>
      <c r="C37" s="851"/>
      <c r="D37" s="851"/>
      <c r="E37" s="855"/>
      <c r="F37" s="852"/>
      <c r="G37" s="851"/>
      <c r="H37" s="851"/>
      <c r="I37" s="851"/>
      <c r="J37" s="851"/>
      <c r="K37" s="851"/>
      <c r="L37" s="851"/>
      <c r="M37" s="851"/>
      <c r="N37" s="398"/>
      <c r="O37" s="399"/>
      <c r="P37" s="400"/>
      <c r="Q37" s="401"/>
      <c r="R37" s="398"/>
      <c r="S37" s="399"/>
      <c r="T37" s="400"/>
      <c r="U37" s="401"/>
      <c r="V37" s="402">
        <v>0</v>
      </c>
      <c r="W37" s="403">
        <v>0</v>
      </c>
      <c r="X37" s="404">
        <v>0</v>
      </c>
      <c r="Y37" s="405"/>
    </row>
    <row r="38" spans="2:25" hidden="1" x14ac:dyDescent="0.25">
      <c r="B38" s="850"/>
      <c r="C38" s="851"/>
      <c r="D38" s="851"/>
      <c r="E38" s="851"/>
      <c r="F38" s="397"/>
      <c r="G38" s="396"/>
      <c r="H38" s="396"/>
      <c r="I38" s="396"/>
      <c r="J38" s="396"/>
      <c r="K38" s="396"/>
      <c r="L38" s="396"/>
      <c r="M38" s="396"/>
      <c r="N38" s="398"/>
      <c r="O38" s="399"/>
      <c r="P38" s="400">
        <v>0</v>
      </c>
      <c r="Q38" s="401"/>
      <c r="R38" s="398"/>
      <c r="S38" s="399"/>
      <c r="T38" s="400">
        <v>0</v>
      </c>
      <c r="U38" s="401"/>
      <c r="V38" s="402">
        <v>0</v>
      </c>
      <c r="W38" s="403">
        <v>0</v>
      </c>
      <c r="X38" s="404">
        <v>0</v>
      </c>
      <c r="Y38" s="405"/>
    </row>
    <row r="39" spans="2:25" hidden="1" x14ac:dyDescent="0.25">
      <c r="B39" s="395"/>
      <c r="C39" s="396"/>
      <c r="D39" s="396"/>
      <c r="E39" s="396"/>
      <c r="F39" s="397"/>
      <c r="G39" s="396"/>
      <c r="H39" s="396"/>
      <c r="I39" s="396"/>
      <c r="J39" s="396"/>
      <c r="K39" s="396"/>
      <c r="L39" s="396"/>
      <c r="M39" s="396"/>
      <c r="N39" s="398"/>
      <c r="O39" s="399"/>
      <c r="P39" s="400">
        <v>0</v>
      </c>
      <c r="Q39" s="401"/>
      <c r="R39" s="398"/>
      <c r="S39" s="399"/>
      <c r="T39" s="400">
        <v>0</v>
      </c>
      <c r="U39" s="401"/>
      <c r="V39" s="402">
        <v>0</v>
      </c>
      <c r="W39" s="403">
        <v>0</v>
      </c>
      <c r="X39" s="404">
        <v>0</v>
      </c>
      <c r="Y39" s="405"/>
    </row>
    <row r="40" spans="2:25" hidden="1" x14ac:dyDescent="0.25">
      <c r="B40" s="395"/>
      <c r="C40" s="396"/>
      <c r="D40" s="396"/>
      <c r="E40" s="396"/>
      <c r="F40" s="397"/>
      <c r="G40" s="396"/>
      <c r="H40" s="396"/>
      <c r="I40" s="396"/>
      <c r="J40" s="396"/>
      <c r="K40" s="396"/>
      <c r="L40" s="396"/>
      <c r="M40" s="396"/>
      <c r="N40" s="398"/>
      <c r="O40" s="399"/>
      <c r="P40" s="400">
        <v>0</v>
      </c>
      <c r="Q40" s="401"/>
      <c r="R40" s="398"/>
      <c r="S40" s="399"/>
      <c r="T40" s="400">
        <v>0</v>
      </c>
      <c r="U40" s="401"/>
      <c r="V40" s="402">
        <v>0</v>
      </c>
      <c r="W40" s="403">
        <v>0</v>
      </c>
      <c r="X40" s="404">
        <v>0</v>
      </c>
      <c r="Y40" s="405"/>
    </row>
    <row r="41" spans="2:25" hidden="1" x14ac:dyDescent="0.25">
      <c r="B41" s="395"/>
      <c r="C41" s="396"/>
      <c r="D41" s="396"/>
      <c r="E41" s="396"/>
      <c r="F41" s="397"/>
      <c r="G41" s="396"/>
      <c r="H41" s="396"/>
      <c r="I41" s="396"/>
      <c r="J41" s="396"/>
      <c r="K41" s="396"/>
      <c r="L41" s="396"/>
      <c r="M41" s="396"/>
      <c r="N41" s="398"/>
      <c r="O41" s="399"/>
      <c r="P41" s="400">
        <v>0</v>
      </c>
      <c r="Q41" s="401"/>
      <c r="R41" s="398"/>
      <c r="S41" s="399"/>
      <c r="T41" s="400">
        <v>0</v>
      </c>
      <c r="U41" s="401"/>
      <c r="V41" s="402">
        <v>0</v>
      </c>
      <c r="W41" s="403">
        <v>0</v>
      </c>
      <c r="X41" s="404">
        <v>0</v>
      </c>
      <c r="Y41" s="405"/>
    </row>
    <row r="42" spans="2:25" hidden="1" x14ac:dyDescent="0.25">
      <c r="B42" s="395"/>
      <c r="C42" s="396"/>
      <c r="D42" s="396"/>
      <c r="E42" s="396"/>
      <c r="F42" s="397"/>
      <c r="G42" s="396"/>
      <c r="H42" s="396"/>
      <c r="I42" s="396"/>
      <c r="J42" s="396"/>
      <c r="K42" s="396"/>
      <c r="L42" s="396"/>
      <c r="M42" s="396"/>
      <c r="N42" s="398"/>
      <c r="O42" s="399"/>
      <c r="P42" s="400">
        <v>0</v>
      </c>
      <c r="Q42" s="401"/>
      <c r="R42" s="398"/>
      <c r="S42" s="399"/>
      <c r="T42" s="400">
        <v>0</v>
      </c>
      <c r="U42" s="401"/>
      <c r="V42" s="402">
        <v>0</v>
      </c>
      <c r="W42" s="403">
        <v>0</v>
      </c>
      <c r="X42" s="404">
        <v>0</v>
      </c>
      <c r="Y42" s="405"/>
    </row>
    <row r="43" spans="2:25" hidden="1" x14ac:dyDescent="0.25">
      <c r="B43" s="395"/>
      <c r="C43" s="396"/>
      <c r="D43" s="396"/>
      <c r="E43" s="396"/>
      <c r="F43" s="397"/>
      <c r="G43" s="396"/>
      <c r="H43" s="396"/>
      <c r="I43" s="396"/>
      <c r="J43" s="396"/>
      <c r="K43" s="396"/>
      <c r="L43" s="396"/>
      <c r="M43" s="396"/>
      <c r="N43" s="398"/>
      <c r="O43" s="399"/>
      <c r="P43" s="400">
        <v>0</v>
      </c>
      <c r="Q43" s="401"/>
      <c r="R43" s="398"/>
      <c r="S43" s="399"/>
      <c r="T43" s="400">
        <v>0</v>
      </c>
      <c r="U43" s="401"/>
      <c r="V43" s="402">
        <v>0</v>
      </c>
      <c r="W43" s="403">
        <v>0</v>
      </c>
      <c r="X43" s="404">
        <v>0</v>
      </c>
      <c r="Y43" s="405"/>
    </row>
    <row r="44" spans="2:25" hidden="1" x14ac:dyDescent="0.25">
      <c r="B44" s="395"/>
      <c r="C44" s="396"/>
      <c r="D44" s="396"/>
      <c r="E44" s="396"/>
      <c r="F44" s="397"/>
      <c r="G44" s="396"/>
      <c r="H44" s="396"/>
      <c r="I44" s="396"/>
      <c r="J44" s="396"/>
      <c r="K44" s="396"/>
      <c r="L44" s="396"/>
      <c r="M44" s="396"/>
      <c r="N44" s="398"/>
      <c r="O44" s="399"/>
      <c r="P44" s="400">
        <v>0</v>
      </c>
      <c r="Q44" s="401"/>
      <c r="R44" s="398"/>
      <c r="S44" s="399"/>
      <c r="T44" s="400">
        <v>0</v>
      </c>
      <c r="U44" s="401"/>
      <c r="V44" s="402">
        <v>0</v>
      </c>
      <c r="W44" s="403">
        <v>0</v>
      </c>
      <c r="X44" s="404">
        <v>0</v>
      </c>
      <c r="Y44" s="405"/>
    </row>
    <row r="45" spans="2:25" hidden="1" x14ac:dyDescent="0.25">
      <c r="B45" s="395"/>
      <c r="C45" s="396"/>
      <c r="D45" s="396"/>
      <c r="E45" s="396"/>
      <c r="F45" s="397"/>
      <c r="G45" s="396"/>
      <c r="H45" s="396"/>
      <c r="I45" s="396"/>
      <c r="J45" s="396"/>
      <c r="K45" s="396"/>
      <c r="L45" s="396"/>
      <c r="M45" s="396"/>
      <c r="N45" s="398"/>
      <c r="O45" s="399"/>
      <c r="P45" s="400">
        <v>0</v>
      </c>
      <c r="Q45" s="401"/>
      <c r="R45" s="398"/>
      <c r="S45" s="399"/>
      <c r="T45" s="400">
        <v>0</v>
      </c>
      <c r="U45" s="401"/>
      <c r="V45" s="402">
        <v>0</v>
      </c>
      <c r="W45" s="403">
        <v>0</v>
      </c>
      <c r="X45" s="404">
        <v>0</v>
      </c>
      <c r="Y45" s="405"/>
    </row>
    <row r="46" spans="2:25" hidden="1" x14ac:dyDescent="0.25">
      <c r="B46" s="395"/>
      <c r="C46" s="396"/>
      <c r="D46" s="396"/>
      <c r="E46" s="396"/>
      <c r="F46" s="397"/>
      <c r="G46" s="396"/>
      <c r="H46" s="396"/>
      <c r="I46" s="396"/>
      <c r="J46" s="396"/>
      <c r="K46" s="396"/>
      <c r="L46" s="396"/>
      <c r="M46" s="396"/>
      <c r="N46" s="398"/>
      <c r="O46" s="399"/>
      <c r="P46" s="400">
        <v>0</v>
      </c>
      <c r="Q46" s="401"/>
      <c r="R46" s="398"/>
      <c r="S46" s="399"/>
      <c r="T46" s="400">
        <v>0</v>
      </c>
      <c r="U46" s="401"/>
      <c r="V46" s="402">
        <v>0</v>
      </c>
      <c r="W46" s="403">
        <v>0</v>
      </c>
      <c r="X46" s="404">
        <v>0</v>
      </c>
      <c r="Y46" s="405"/>
    </row>
    <row r="47" spans="2:25" hidden="1" x14ac:dyDescent="0.25">
      <c r="B47" s="395"/>
      <c r="C47" s="396"/>
      <c r="D47" s="396"/>
      <c r="E47" s="396"/>
      <c r="F47" s="397"/>
      <c r="G47" s="396"/>
      <c r="H47" s="396"/>
      <c r="I47" s="396"/>
      <c r="J47" s="396"/>
      <c r="K47" s="396"/>
      <c r="L47" s="396"/>
      <c r="M47" s="396"/>
      <c r="N47" s="398"/>
      <c r="O47" s="399"/>
      <c r="P47" s="400">
        <v>0</v>
      </c>
      <c r="Q47" s="401"/>
      <c r="R47" s="398"/>
      <c r="S47" s="399"/>
      <c r="T47" s="400">
        <v>0</v>
      </c>
      <c r="U47" s="401"/>
      <c r="V47" s="402">
        <v>0</v>
      </c>
      <c r="W47" s="403">
        <v>0</v>
      </c>
      <c r="X47" s="404">
        <v>0</v>
      </c>
      <c r="Y47" s="405"/>
    </row>
    <row r="48" spans="2:25" hidden="1" x14ac:dyDescent="0.25">
      <c r="B48" s="395"/>
      <c r="C48" s="396"/>
      <c r="D48" s="396"/>
      <c r="E48" s="396"/>
      <c r="F48" s="397"/>
      <c r="G48" s="396"/>
      <c r="H48" s="396"/>
      <c r="I48" s="396"/>
      <c r="J48" s="396"/>
      <c r="K48" s="396"/>
      <c r="L48" s="396"/>
      <c r="M48" s="396"/>
      <c r="N48" s="398"/>
      <c r="O48" s="399"/>
      <c r="P48" s="400">
        <v>0</v>
      </c>
      <c r="Q48" s="401"/>
      <c r="R48" s="398"/>
      <c r="S48" s="399"/>
      <c r="T48" s="400">
        <v>0</v>
      </c>
      <c r="U48" s="401"/>
      <c r="V48" s="402">
        <v>0</v>
      </c>
      <c r="W48" s="403">
        <v>0</v>
      </c>
      <c r="X48" s="404">
        <v>0</v>
      </c>
      <c r="Y48" s="405"/>
    </row>
    <row r="49" spans="2:25" hidden="1" x14ac:dyDescent="0.25">
      <c r="B49" s="395"/>
      <c r="C49" s="396"/>
      <c r="D49" s="396"/>
      <c r="E49" s="396"/>
      <c r="F49" s="397"/>
      <c r="G49" s="396"/>
      <c r="H49" s="396"/>
      <c r="I49" s="396"/>
      <c r="J49" s="396"/>
      <c r="K49" s="396"/>
      <c r="L49" s="396"/>
      <c r="M49" s="396"/>
      <c r="N49" s="398"/>
      <c r="O49" s="399"/>
      <c r="P49" s="400">
        <v>0</v>
      </c>
      <c r="Q49" s="401"/>
      <c r="R49" s="398"/>
      <c r="S49" s="399"/>
      <c r="T49" s="400">
        <v>0</v>
      </c>
      <c r="U49" s="401"/>
      <c r="V49" s="402">
        <v>0</v>
      </c>
      <c r="W49" s="403">
        <v>0</v>
      </c>
      <c r="X49" s="404">
        <v>0</v>
      </c>
      <c r="Y49" s="405"/>
    </row>
    <row r="50" spans="2:25" x14ac:dyDescent="0.25">
      <c r="B50" s="395"/>
      <c r="C50" s="396"/>
      <c r="D50" s="396"/>
      <c r="E50" s="396"/>
      <c r="F50" s="397"/>
      <c r="G50" s="396"/>
      <c r="H50" s="396"/>
      <c r="I50" s="396"/>
      <c r="J50" s="396"/>
      <c r="K50" s="396"/>
      <c r="L50" s="396"/>
      <c r="M50" s="396"/>
      <c r="N50" s="398"/>
      <c r="O50" s="399"/>
      <c r="P50" s="400">
        <v>0</v>
      </c>
      <c r="Q50" s="401"/>
      <c r="R50" s="398"/>
      <c r="S50" s="399"/>
      <c r="T50" s="400">
        <v>0</v>
      </c>
      <c r="U50" s="401"/>
      <c r="V50" s="402">
        <v>0</v>
      </c>
      <c r="W50" s="403">
        <v>0</v>
      </c>
      <c r="X50" s="404">
        <v>0</v>
      </c>
      <c r="Y50" s="405"/>
    </row>
    <row r="51" spans="2:25" ht="15.75" thickBot="1" x14ac:dyDescent="0.3">
      <c r="B51" s="406"/>
      <c r="C51" s="407"/>
      <c r="D51" s="407"/>
      <c r="E51" s="407"/>
      <c r="F51" s="408"/>
      <c r="G51" s="407"/>
      <c r="H51" s="407"/>
      <c r="I51" s="407"/>
      <c r="J51" s="407"/>
      <c r="K51" s="407"/>
      <c r="L51" s="407"/>
      <c r="M51" s="407"/>
      <c r="N51" s="409"/>
      <c r="O51" s="410"/>
      <c r="P51" s="411">
        <v>0</v>
      </c>
      <c r="Q51" s="412"/>
      <c r="R51" s="409"/>
      <c r="S51" s="410"/>
      <c r="T51" s="411">
        <v>0</v>
      </c>
      <c r="U51" s="412"/>
      <c r="V51" s="413">
        <v>0</v>
      </c>
      <c r="W51" s="414">
        <v>0</v>
      </c>
      <c r="X51" s="415">
        <v>0</v>
      </c>
      <c r="Y51" s="416"/>
    </row>
    <row r="52" spans="2:25" ht="15.75" thickBot="1" x14ac:dyDescent="0.3">
      <c r="B52" s="55"/>
      <c r="C52" s="55"/>
      <c r="D52" s="55"/>
      <c r="E52" s="55"/>
      <c r="F52" s="55"/>
      <c r="G52" s="55"/>
      <c r="H52" s="55"/>
      <c r="I52" s="55"/>
      <c r="J52" s="55"/>
      <c r="K52" s="55"/>
      <c r="L52" s="55"/>
      <c r="M52" s="55"/>
      <c r="N52" s="417">
        <f>SUM(N33:N51)</f>
        <v>883700</v>
      </c>
      <c r="O52" s="417">
        <f t="shared" ref="O52:X52" si="1">SUM(O33:O51)</f>
        <v>0</v>
      </c>
      <c r="P52" s="417">
        <f t="shared" si="1"/>
        <v>0</v>
      </c>
      <c r="Q52" s="417">
        <f t="shared" si="1"/>
        <v>0</v>
      </c>
      <c r="R52" s="417">
        <f t="shared" si="1"/>
        <v>1381100</v>
      </c>
      <c r="S52" s="417">
        <f t="shared" si="1"/>
        <v>0</v>
      </c>
      <c r="T52" s="417">
        <f t="shared" si="1"/>
        <v>0</v>
      </c>
      <c r="U52" s="417">
        <f t="shared" si="1"/>
        <v>0</v>
      </c>
      <c r="V52" s="417">
        <f t="shared" si="1"/>
        <v>497400</v>
      </c>
      <c r="W52" s="417">
        <f t="shared" si="1"/>
        <v>0</v>
      </c>
      <c r="X52" s="417">
        <f t="shared" si="1"/>
        <v>0</v>
      </c>
      <c r="Y52" s="421"/>
    </row>
    <row r="53" spans="2:25" x14ac:dyDescent="0.25">
      <c r="N53" s="926"/>
    </row>
  </sheetData>
  <mergeCells count="50">
    <mergeCell ref="V31:V32"/>
    <mergeCell ref="W31:W32"/>
    <mergeCell ref="X31:X32"/>
    <mergeCell ref="Y31:Y32"/>
    <mergeCell ref="P31:P32"/>
    <mergeCell ref="Q31:Q32"/>
    <mergeCell ref="R31:R32"/>
    <mergeCell ref="S31:S32"/>
    <mergeCell ref="T31:T32"/>
    <mergeCell ref="U31:U32"/>
    <mergeCell ref="O31:O32"/>
    <mergeCell ref="B31:B32"/>
    <mergeCell ref="C31:C32"/>
    <mergeCell ref="D31:D32"/>
    <mergeCell ref="E31:E32"/>
    <mergeCell ref="F31:F32"/>
    <mergeCell ref="G31:G32"/>
    <mergeCell ref="H31:H32"/>
    <mergeCell ref="I31:I32"/>
    <mergeCell ref="J31:J32"/>
    <mergeCell ref="K31:M31"/>
    <mergeCell ref="N31:N32"/>
    <mergeCell ref="X6:X7"/>
    <mergeCell ref="Y6:Y7"/>
    <mergeCell ref="N30:Q30"/>
    <mergeCell ref="R30:U30"/>
    <mergeCell ref="V30:Y30"/>
    <mergeCell ref="Q6:Q7"/>
    <mergeCell ref="R6:R7"/>
    <mergeCell ref="S6:S7"/>
    <mergeCell ref="T6:T7"/>
    <mergeCell ref="U6:U7"/>
    <mergeCell ref="V6:V7"/>
    <mergeCell ref="P6:P7"/>
    <mergeCell ref="N5:Q5"/>
    <mergeCell ref="R5:U5"/>
    <mergeCell ref="V5:Y5"/>
    <mergeCell ref="B6:B7"/>
    <mergeCell ref="C6:C7"/>
    <mergeCell ref="D6:D7"/>
    <mergeCell ref="E6:E7"/>
    <mergeCell ref="F6:F7"/>
    <mergeCell ref="G6:G7"/>
    <mergeCell ref="H6:H7"/>
    <mergeCell ref="I6:I7"/>
    <mergeCell ref="J6:J7"/>
    <mergeCell ref="K6:M6"/>
    <mergeCell ref="N6:N7"/>
    <mergeCell ref="O6:O7"/>
    <mergeCell ref="W6:W7"/>
  </mergeCells>
  <pageMargins left="0.2" right="0.2" top="0.35" bottom="0.26" header="0.3" footer="0.17"/>
  <pageSetup paperSize="5" scale="5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Y40"/>
  <sheetViews>
    <sheetView view="pageBreakPreview" zoomScale="60" zoomScaleNormal="100" workbookViewId="0">
      <selection activeCell="N8" sqref="N8:N15"/>
    </sheetView>
  </sheetViews>
  <sheetFormatPr defaultColWidth="9.140625" defaultRowHeight="12.75" x14ac:dyDescent="0.2"/>
  <cols>
    <col min="1" max="1" width="6" style="262" customWidth="1"/>
    <col min="2" max="2" width="16.42578125" style="262" customWidth="1"/>
    <col min="3" max="3" width="9.28515625" style="262" customWidth="1"/>
    <col min="4" max="4" width="9.5703125" style="262" customWidth="1"/>
    <col min="5" max="5" width="45.5703125" style="262" bestFit="1" customWidth="1"/>
    <col min="6" max="6" width="7.28515625" style="262" customWidth="1"/>
    <col min="7" max="7" width="9.7109375" style="262" customWidth="1"/>
    <col min="8" max="8" width="10.5703125" style="262" bestFit="1" customWidth="1"/>
    <col min="9" max="9" width="21.5703125" style="262" customWidth="1"/>
    <col min="10" max="10" width="5.85546875" style="262" customWidth="1"/>
    <col min="11" max="12" width="12" style="262" customWidth="1"/>
    <col min="13" max="13" width="8.140625" style="262" customWidth="1"/>
    <col min="14" max="14" width="9.5703125" style="424" customWidth="1"/>
    <col min="15" max="15" width="6" style="425" customWidth="1"/>
    <col min="16" max="16" width="9.28515625" style="424" customWidth="1"/>
    <col min="17" max="17" width="8.85546875" style="424" customWidth="1"/>
    <col min="18" max="18" width="15.42578125" style="425" bestFit="1" customWidth="1"/>
    <col min="19" max="19" width="5.85546875" style="424" customWidth="1"/>
    <col min="20" max="20" width="11" style="424" customWidth="1"/>
    <col min="21" max="21" width="8.7109375" style="424" customWidth="1"/>
    <col min="22" max="22" width="11.42578125" style="262" customWidth="1"/>
    <col min="23" max="23" width="9.140625" style="262"/>
    <col min="24" max="24" width="8.42578125" style="262" customWidth="1"/>
    <col min="25" max="25" width="20.42578125" style="262" customWidth="1"/>
    <col min="26" max="16384" width="9.140625" style="262"/>
  </cols>
  <sheetData>
    <row r="1" spans="2:25" ht="19.5" customHeight="1" x14ac:dyDescent="0.2"/>
    <row r="2" spans="2:25" ht="18" x14ac:dyDescent="0.25">
      <c r="B2" s="171" t="s">
        <v>428</v>
      </c>
      <c r="D2" s="39"/>
    </row>
    <row r="3" spans="2:25" ht="21.75" customHeight="1" x14ac:dyDescent="0.2">
      <c r="B3" s="947" t="s">
        <v>759</v>
      </c>
    </row>
    <row r="4" spans="2:25" ht="13.5" thickBot="1" x14ac:dyDescent="0.25"/>
    <row r="5" spans="2:25" s="426" customFormat="1" ht="57" customHeight="1" thickBot="1" x14ac:dyDescent="0.3">
      <c r="B5" s="1121" t="s">
        <v>259</v>
      </c>
      <c r="C5" s="1122"/>
      <c r="D5" s="1122"/>
      <c r="E5" s="1122"/>
      <c r="F5" s="1122"/>
      <c r="G5" s="1122"/>
      <c r="H5" s="1122"/>
      <c r="I5" s="1122"/>
      <c r="J5" s="1122"/>
      <c r="K5" s="1122"/>
      <c r="L5" s="1122"/>
      <c r="M5" s="1123"/>
      <c r="N5" s="1121" t="s">
        <v>260</v>
      </c>
      <c r="O5" s="1122"/>
      <c r="P5" s="1122"/>
      <c r="Q5" s="1123"/>
      <c r="R5" s="1121" t="s">
        <v>261</v>
      </c>
      <c r="S5" s="1122"/>
      <c r="T5" s="1122"/>
      <c r="U5" s="1123"/>
      <c r="V5" s="1124" t="s">
        <v>288</v>
      </c>
      <c r="W5" s="1125"/>
      <c r="X5" s="1125"/>
      <c r="Y5" s="1126"/>
    </row>
    <row r="6" spans="2:25" s="427" customFormat="1" ht="27" customHeight="1" x14ac:dyDescent="0.25">
      <c r="B6" s="1127" t="s">
        <v>263</v>
      </c>
      <c r="C6" s="1129" t="s">
        <v>264</v>
      </c>
      <c r="D6" s="1129" t="s">
        <v>289</v>
      </c>
      <c r="E6" s="1129" t="s">
        <v>266</v>
      </c>
      <c r="F6" s="1132" t="s">
        <v>267</v>
      </c>
      <c r="G6" s="1129" t="s">
        <v>4</v>
      </c>
      <c r="H6" s="1129" t="s">
        <v>290</v>
      </c>
      <c r="I6" s="1129" t="s">
        <v>268</v>
      </c>
      <c r="J6" s="1129" t="s">
        <v>269</v>
      </c>
      <c r="K6" s="1134" t="s">
        <v>270</v>
      </c>
      <c r="L6" s="1135"/>
      <c r="M6" s="1136"/>
      <c r="N6" s="1156" t="s">
        <v>271</v>
      </c>
      <c r="O6" s="1139" t="s">
        <v>272</v>
      </c>
      <c r="P6" s="1149" t="s">
        <v>273</v>
      </c>
      <c r="Q6" s="1145" t="s">
        <v>274</v>
      </c>
      <c r="R6" s="1147" t="s">
        <v>275</v>
      </c>
      <c r="S6" s="1149" t="s">
        <v>272</v>
      </c>
      <c r="T6" s="1151" t="s">
        <v>276</v>
      </c>
      <c r="U6" s="1145" t="s">
        <v>274</v>
      </c>
      <c r="V6" s="1153" t="s">
        <v>277</v>
      </c>
      <c r="W6" s="1141" t="s">
        <v>278</v>
      </c>
      <c r="X6" s="1141" t="s">
        <v>279</v>
      </c>
      <c r="Y6" s="1143" t="s">
        <v>280</v>
      </c>
    </row>
    <row r="7" spans="2:25" s="428" customFormat="1" ht="27" customHeight="1" thickBot="1" x14ac:dyDescent="0.3">
      <c r="B7" s="1128"/>
      <c r="C7" s="1130"/>
      <c r="D7" s="1130"/>
      <c r="E7" s="1130"/>
      <c r="F7" s="1157"/>
      <c r="G7" s="1131"/>
      <c r="H7" s="1131"/>
      <c r="I7" s="1131"/>
      <c r="J7" s="1130"/>
      <c r="K7" s="949" t="s">
        <v>281</v>
      </c>
      <c r="L7" s="950" t="s">
        <v>282</v>
      </c>
      <c r="M7" s="951" t="s">
        <v>283</v>
      </c>
      <c r="N7" s="1138"/>
      <c r="O7" s="1140"/>
      <c r="P7" s="1150"/>
      <c r="Q7" s="1146"/>
      <c r="R7" s="1148"/>
      <c r="S7" s="1150"/>
      <c r="T7" s="1152"/>
      <c r="U7" s="1146"/>
      <c r="V7" s="1154"/>
      <c r="W7" s="1142"/>
      <c r="X7" s="1142"/>
      <c r="Y7" s="1144"/>
    </row>
    <row r="8" spans="2:25" s="431" customFormat="1" ht="17.25" customHeight="1" x14ac:dyDescent="0.2">
      <c r="B8" s="385" t="s">
        <v>909</v>
      </c>
      <c r="C8" s="952" t="s">
        <v>348</v>
      </c>
      <c r="D8" s="952" t="s">
        <v>348</v>
      </c>
      <c r="E8" s="975" t="s">
        <v>972</v>
      </c>
      <c r="F8" s="941" t="s">
        <v>954</v>
      </c>
      <c r="G8" s="941" t="s">
        <v>790</v>
      </c>
      <c r="H8" s="957">
        <v>2761</v>
      </c>
      <c r="I8" s="957" t="s">
        <v>958</v>
      </c>
      <c r="J8" s="952"/>
      <c r="K8" s="952"/>
      <c r="L8" s="952"/>
      <c r="M8" s="952"/>
      <c r="N8" s="958">
        <v>173220</v>
      </c>
      <c r="O8" s="953"/>
      <c r="P8" s="954">
        <f t="shared" ref="P8:P15" si="0">N8*O8</f>
        <v>0</v>
      </c>
      <c r="Q8" s="966"/>
      <c r="R8" s="849">
        <v>195571</v>
      </c>
      <c r="S8" s="388"/>
      <c r="T8" s="389">
        <f t="shared" ref="T8:T15" si="1">R8*S8</f>
        <v>0</v>
      </c>
      <c r="U8" s="429"/>
      <c r="V8" s="391">
        <f t="shared" ref="V8:V15" si="2">R8-N8</f>
        <v>22351</v>
      </c>
      <c r="W8" s="392">
        <f t="shared" ref="W8:X15" si="3">T8-P8</f>
        <v>0</v>
      </c>
      <c r="X8" s="430">
        <f t="shared" si="3"/>
        <v>0</v>
      </c>
      <c r="Y8" s="394"/>
    </row>
    <row r="9" spans="2:25" ht="17.25" customHeight="1" x14ac:dyDescent="0.2">
      <c r="B9" s="955" t="s">
        <v>910</v>
      </c>
      <c r="C9" s="956" t="s">
        <v>348</v>
      </c>
      <c r="D9" s="956" t="s">
        <v>348</v>
      </c>
      <c r="E9" s="974" t="s">
        <v>973</v>
      </c>
      <c r="F9" s="941" t="s">
        <v>954</v>
      </c>
      <c r="G9" s="941" t="s">
        <v>790</v>
      </c>
      <c r="H9" s="957">
        <v>2761</v>
      </c>
      <c r="I9" s="957" t="s">
        <v>970</v>
      </c>
      <c r="J9" s="956"/>
      <c r="K9" s="956"/>
      <c r="L9" s="956"/>
      <c r="M9" s="956"/>
      <c r="N9" s="958">
        <v>3000</v>
      </c>
      <c r="O9" s="959"/>
      <c r="P9" s="960">
        <f t="shared" si="0"/>
        <v>0</v>
      </c>
      <c r="Q9" s="967"/>
      <c r="R9" s="398">
        <v>5886</v>
      </c>
      <c r="S9" s="399"/>
      <c r="T9" s="400">
        <f t="shared" si="1"/>
        <v>0</v>
      </c>
      <c r="U9" s="432"/>
      <c r="V9" s="402">
        <f t="shared" si="2"/>
        <v>2886</v>
      </c>
      <c r="W9" s="403">
        <f t="shared" si="3"/>
        <v>0</v>
      </c>
      <c r="X9" s="433">
        <f t="shared" si="3"/>
        <v>0</v>
      </c>
      <c r="Y9" s="405"/>
    </row>
    <row r="10" spans="2:25" s="39" customFormat="1" ht="17.25" customHeight="1" x14ac:dyDescent="0.2">
      <c r="B10" s="955" t="s">
        <v>911</v>
      </c>
      <c r="C10" s="956" t="s">
        <v>348</v>
      </c>
      <c r="D10" s="956" t="s">
        <v>348</v>
      </c>
      <c r="E10" s="978" t="s">
        <v>971</v>
      </c>
      <c r="F10" s="941" t="s">
        <v>954</v>
      </c>
      <c r="G10" s="941" t="s">
        <v>790</v>
      </c>
      <c r="H10" s="957">
        <v>2761</v>
      </c>
      <c r="I10" s="957" t="s">
        <v>956</v>
      </c>
      <c r="J10" s="956"/>
      <c r="K10" s="956"/>
      <c r="L10" s="956"/>
      <c r="M10" s="956"/>
      <c r="N10" s="958"/>
      <c r="O10" s="959"/>
      <c r="P10" s="960">
        <f t="shared" si="0"/>
        <v>0</v>
      </c>
      <c r="Q10" s="967"/>
      <c r="R10" s="398">
        <v>45249.75</v>
      </c>
      <c r="S10" s="399"/>
      <c r="T10" s="400">
        <f t="shared" si="1"/>
        <v>0</v>
      </c>
      <c r="U10" s="432"/>
      <c r="V10" s="402">
        <f t="shared" si="2"/>
        <v>45249.75</v>
      </c>
      <c r="W10" s="403">
        <f t="shared" si="3"/>
        <v>0</v>
      </c>
      <c r="X10" s="433">
        <f t="shared" si="3"/>
        <v>0</v>
      </c>
      <c r="Y10" s="405"/>
    </row>
    <row r="11" spans="2:25" ht="17.25" customHeight="1" x14ac:dyDescent="0.2">
      <c r="B11" s="955" t="s">
        <v>912</v>
      </c>
      <c r="C11" s="956" t="s">
        <v>348</v>
      </c>
      <c r="D11" s="956" t="s">
        <v>348</v>
      </c>
      <c r="E11" s="914" t="s">
        <v>966</v>
      </c>
      <c r="F11" s="941" t="s">
        <v>954</v>
      </c>
      <c r="G11" s="941" t="s">
        <v>790</v>
      </c>
      <c r="H11" s="957">
        <v>4921</v>
      </c>
      <c r="I11" s="957" t="s">
        <v>957</v>
      </c>
      <c r="J11" s="956"/>
      <c r="K11" s="956"/>
      <c r="L11" s="956"/>
      <c r="M11" s="956"/>
      <c r="N11" s="958">
        <v>1325</v>
      </c>
      <c r="O11" s="959"/>
      <c r="P11" s="960">
        <f t="shared" si="0"/>
        <v>0</v>
      </c>
      <c r="Q11" s="967"/>
      <c r="R11" s="398">
        <v>1444.25</v>
      </c>
      <c r="S11" s="399"/>
      <c r="T11" s="400">
        <f t="shared" si="1"/>
        <v>0</v>
      </c>
      <c r="U11" s="432"/>
      <c r="V11" s="402">
        <f t="shared" si="2"/>
        <v>119.25</v>
      </c>
      <c r="W11" s="403">
        <f t="shared" si="3"/>
        <v>0</v>
      </c>
      <c r="X11" s="433">
        <f t="shared" si="3"/>
        <v>0</v>
      </c>
      <c r="Y11" s="405"/>
    </row>
    <row r="12" spans="2:25" ht="17.25" customHeight="1" x14ac:dyDescent="0.2">
      <c r="B12" s="955" t="s">
        <v>912</v>
      </c>
      <c r="C12" s="956" t="s">
        <v>348</v>
      </c>
      <c r="D12" s="956" t="s">
        <v>348</v>
      </c>
      <c r="E12" s="916" t="s">
        <v>967</v>
      </c>
      <c r="F12" s="941" t="s">
        <v>954</v>
      </c>
      <c r="G12" s="941" t="s">
        <v>790</v>
      </c>
      <c r="H12" s="858">
        <v>3596</v>
      </c>
      <c r="I12" s="957" t="s">
        <v>955</v>
      </c>
      <c r="J12" s="956"/>
      <c r="K12" s="956"/>
      <c r="L12" s="956"/>
      <c r="M12" s="956"/>
      <c r="N12" s="958"/>
      <c r="O12" s="959"/>
      <c r="P12" s="960">
        <f t="shared" si="0"/>
        <v>0</v>
      </c>
      <c r="Q12" s="967"/>
      <c r="R12" s="398">
        <v>194.02</v>
      </c>
      <c r="S12" s="399"/>
      <c r="T12" s="400">
        <f t="shared" si="1"/>
        <v>0</v>
      </c>
      <c r="U12" s="432"/>
      <c r="V12" s="402">
        <f t="shared" si="2"/>
        <v>194.02</v>
      </c>
      <c r="W12" s="403">
        <f t="shared" si="3"/>
        <v>0</v>
      </c>
      <c r="X12" s="433">
        <f t="shared" si="3"/>
        <v>0</v>
      </c>
      <c r="Y12" s="405"/>
    </row>
    <row r="13" spans="2:25" ht="17.25" customHeight="1" x14ac:dyDescent="0.2">
      <c r="B13" s="955" t="s">
        <v>912</v>
      </c>
      <c r="C13" s="956" t="s">
        <v>348</v>
      </c>
      <c r="D13" s="956" t="s">
        <v>348</v>
      </c>
      <c r="E13" s="916" t="s">
        <v>968</v>
      </c>
      <c r="F13" s="941" t="s">
        <v>954</v>
      </c>
      <c r="G13" s="941" t="s">
        <v>790</v>
      </c>
      <c r="H13" s="858">
        <v>3596</v>
      </c>
      <c r="I13" s="957" t="s">
        <v>955</v>
      </c>
      <c r="J13" s="956"/>
      <c r="K13" s="956"/>
      <c r="L13" s="956"/>
      <c r="M13" s="956"/>
      <c r="N13" s="958"/>
      <c r="O13" s="959"/>
      <c r="P13" s="960">
        <f t="shared" si="0"/>
        <v>0</v>
      </c>
      <c r="Q13" s="967"/>
      <c r="R13" s="398">
        <v>1262.22</v>
      </c>
      <c r="S13" s="399"/>
      <c r="T13" s="400">
        <f t="shared" si="1"/>
        <v>0</v>
      </c>
      <c r="U13" s="432"/>
      <c r="V13" s="402">
        <f t="shared" si="2"/>
        <v>1262.22</v>
      </c>
      <c r="W13" s="403">
        <f t="shared" si="3"/>
        <v>0</v>
      </c>
      <c r="X13" s="433">
        <f t="shared" si="3"/>
        <v>0</v>
      </c>
      <c r="Y13" s="405"/>
    </row>
    <row r="14" spans="2:25" ht="17.25" customHeight="1" x14ac:dyDescent="0.2">
      <c r="B14" s="955" t="s">
        <v>912</v>
      </c>
      <c r="C14" s="956" t="s">
        <v>348</v>
      </c>
      <c r="D14" s="956" t="s">
        <v>348</v>
      </c>
      <c r="E14" s="914" t="s">
        <v>969</v>
      </c>
      <c r="F14" s="941" t="s">
        <v>954</v>
      </c>
      <c r="G14" s="941" t="s">
        <v>790</v>
      </c>
      <c r="H14" s="858">
        <v>3596</v>
      </c>
      <c r="I14" s="957" t="s">
        <v>955</v>
      </c>
      <c r="J14" s="956"/>
      <c r="K14" s="956"/>
      <c r="L14" s="956"/>
      <c r="M14" s="956"/>
      <c r="N14" s="958"/>
      <c r="O14" s="959"/>
      <c r="P14" s="960">
        <f t="shared" si="0"/>
        <v>0</v>
      </c>
      <c r="Q14" s="967"/>
      <c r="R14" s="398">
        <v>1458.42</v>
      </c>
      <c r="S14" s="399"/>
      <c r="T14" s="400">
        <f t="shared" si="1"/>
        <v>0</v>
      </c>
      <c r="U14" s="432"/>
      <c r="V14" s="402">
        <f t="shared" si="2"/>
        <v>1458.42</v>
      </c>
      <c r="W14" s="403">
        <f t="shared" si="3"/>
        <v>0</v>
      </c>
      <c r="X14" s="433">
        <f t="shared" si="3"/>
        <v>0</v>
      </c>
      <c r="Y14" s="405"/>
    </row>
    <row r="15" spans="2:25" ht="17.25" customHeight="1" thickBot="1" x14ac:dyDescent="0.25">
      <c r="B15" s="961"/>
      <c r="C15" s="962"/>
      <c r="D15" s="962"/>
      <c r="E15" s="962"/>
      <c r="F15" s="963"/>
      <c r="G15" s="963"/>
      <c r="H15" s="963"/>
      <c r="I15" s="963"/>
      <c r="J15" s="962"/>
      <c r="K15" s="962"/>
      <c r="L15" s="962"/>
      <c r="M15" s="962"/>
      <c r="N15" s="958"/>
      <c r="O15" s="964"/>
      <c r="P15" s="965">
        <f t="shared" si="0"/>
        <v>0</v>
      </c>
      <c r="Q15" s="968"/>
      <c r="R15" s="409"/>
      <c r="S15" s="410"/>
      <c r="T15" s="411">
        <f t="shared" si="1"/>
        <v>0</v>
      </c>
      <c r="U15" s="434"/>
      <c r="V15" s="413">
        <f t="shared" si="2"/>
        <v>0</v>
      </c>
      <c r="W15" s="414">
        <f t="shared" si="3"/>
        <v>0</v>
      </c>
      <c r="X15" s="435">
        <f t="shared" si="3"/>
        <v>0</v>
      </c>
      <c r="Y15" s="416"/>
    </row>
    <row r="16" spans="2:25" ht="17.25" customHeight="1" thickBot="1" x14ac:dyDescent="0.25">
      <c r="B16" s="847"/>
      <c r="C16" s="55"/>
      <c r="D16" s="55"/>
      <c r="E16" s="55"/>
      <c r="F16" s="55"/>
      <c r="G16" s="55"/>
      <c r="H16" s="55"/>
      <c r="I16" s="55"/>
      <c r="J16" s="55"/>
      <c r="K16" s="55"/>
      <c r="L16" s="55"/>
      <c r="M16" s="55"/>
      <c r="N16" s="979">
        <f>SUM(N8:N15)</f>
        <v>177545</v>
      </c>
      <c r="O16" s="980"/>
      <c r="P16" s="981">
        <f>SUM(P8:P15)</f>
        <v>0</v>
      </c>
      <c r="Q16" s="981">
        <f>SUM(Q8:Q15)</f>
        <v>0</v>
      </c>
      <c r="R16" s="417">
        <f>SUM(R8:R15)</f>
        <v>251065.66</v>
      </c>
      <c r="S16" s="418"/>
      <c r="T16" s="419">
        <f>SUM(T8:T15)</f>
        <v>0</v>
      </c>
      <c r="U16" s="436">
        <f>SUM(U8:U15)</f>
        <v>0</v>
      </c>
      <c r="V16" s="420">
        <f>SUM(V8:V15)</f>
        <v>73520.66</v>
      </c>
      <c r="W16" s="419">
        <f>SUM(W8:W15)</f>
        <v>0</v>
      </c>
      <c r="X16" s="437">
        <f>SUM(X8:X15)</f>
        <v>0</v>
      </c>
      <c r="Y16" s="421"/>
    </row>
    <row r="17" spans="2:25" ht="24.75" customHeight="1" thickBot="1" x14ac:dyDescent="0.25"/>
    <row r="18" spans="2:25" s="426" customFormat="1" ht="57" customHeight="1" thickBot="1" x14ac:dyDescent="0.3">
      <c r="B18" s="1121" t="s">
        <v>284</v>
      </c>
      <c r="C18" s="1122"/>
      <c r="D18" s="1122"/>
      <c r="E18" s="1122"/>
      <c r="F18" s="1122"/>
      <c r="G18" s="1122"/>
      <c r="H18" s="1122"/>
      <c r="I18" s="1122"/>
      <c r="J18" s="1122"/>
      <c r="K18" s="1122"/>
      <c r="L18" s="1122"/>
      <c r="M18" s="1123"/>
      <c r="N18" s="1121" t="s">
        <v>261</v>
      </c>
      <c r="O18" s="1122"/>
      <c r="P18" s="1122"/>
      <c r="Q18" s="1123"/>
      <c r="R18" s="1121" t="s">
        <v>291</v>
      </c>
      <c r="S18" s="1122"/>
      <c r="T18" s="1122"/>
      <c r="U18" s="1123"/>
      <c r="V18" s="1124" t="s">
        <v>288</v>
      </c>
      <c r="W18" s="1125"/>
      <c r="X18" s="1125"/>
      <c r="Y18" s="1126"/>
    </row>
    <row r="19" spans="2:25" s="438" customFormat="1" ht="27" customHeight="1" x14ac:dyDescent="0.2">
      <c r="B19" s="1127" t="s">
        <v>263</v>
      </c>
      <c r="C19" s="1129" t="s">
        <v>264</v>
      </c>
      <c r="D19" s="1129" t="s">
        <v>292</v>
      </c>
      <c r="E19" s="1129" t="s">
        <v>266</v>
      </c>
      <c r="F19" s="1132" t="s">
        <v>267</v>
      </c>
      <c r="G19" s="1129" t="s">
        <v>4</v>
      </c>
      <c r="H19" s="1129" t="s">
        <v>290</v>
      </c>
      <c r="I19" s="1129" t="s">
        <v>268</v>
      </c>
      <c r="J19" s="1129" t="s">
        <v>269</v>
      </c>
      <c r="K19" s="1134" t="s">
        <v>270</v>
      </c>
      <c r="L19" s="1135"/>
      <c r="M19" s="1136"/>
      <c r="N19" s="1156" t="s">
        <v>271</v>
      </c>
      <c r="O19" s="1139" t="s">
        <v>272</v>
      </c>
      <c r="P19" s="1149" t="s">
        <v>273</v>
      </c>
      <c r="Q19" s="1145" t="s">
        <v>274</v>
      </c>
      <c r="R19" s="1147" t="s">
        <v>275</v>
      </c>
      <c r="S19" s="1149" t="s">
        <v>272</v>
      </c>
      <c r="T19" s="1151" t="s">
        <v>276</v>
      </c>
      <c r="U19" s="1145" t="s">
        <v>274</v>
      </c>
      <c r="V19" s="1153" t="s">
        <v>277</v>
      </c>
      <c r="W19" s="1141" t="s">
        <v>278</v>
      </c>
      <c r="X19" s="1141" t="s">
        <v>279</v>
      </c>
      <c r="Y19" s="1143" t="s">
        <v>280</v>
      </c>
    </row>
    <row r="20" spans="2:25" s="439" customFormat="1" ht="27" customHeight="1" thickBot="1" x14ac:dyDescent="0.25">
      <c r="B20" s="1128"/>
      <c r="C20" s="1130"/>
      <c r="D20" s="1130"/>
      <c r="E20" s="1130"/>
      <c r="F20" s="1133"/>
      <c r="G20" s="1130"/>
      <c r="H20" s="1130"/>
      <c r="I20" s="1130"/>
      <c r="J20" s="1130"/>
      <c r="K20" s="382" t="s">
        <v>281</v>
      </c>
      <c r="L20" s="383" t="s">
        <v>282</v>
      </c>
      <c r="M20" s="384" t="s">
        <v>283</v>
      </c>
      <c r="N20" s="1138"/>
      <c r="O20" s="1140"/>
      <c r="P20" s="1150"/>
      <c r="Q20" s="1146"/>
      <c r="R20" s="1148"/>
      <c r="S20" s="1150"/>
      <c r="T20" s="1152"/>
      <c r="U20" s="1146"/>
      <c r="V20" s="1154"/>
      <c r="W20" s="1142"/>
      <c r="X20" s="1142"/>
      <c r="Y20" s="1144"/>
    </row>
    <row r="21" spans="2:25" s="431" customFormat="1" ht="17.25" customHeight="1" x14ac:dyDescent="0.2">
      <c r="B21" s="982" t="s">
        <v>909</v>
      </c>
      <c r="C21" s="983" t="s">
        <v>348</v>
      </c>
      <c r="D21" s="983" t="s">
        <v>348</v>
      </c>
      <c r="E21" s="975" t="s">
        <v>972</v>
      </c>
      <c r="F21" s="984" t="s">
        <v>954</v>
      </c>
      <c r="G21" s="985" t="s">
        <v>790</v>
      </c>
      <c r="H21" s="957">
        <v>2761</v>
      </c>
      <c r="I21" s="957" t="s">
        <v>970</v>
      </c>
      <c r="J21" s="983"/>
      <c r="K21" s="983"/>
      <c r="L21" s="983"/>
      <c r="M21" s="386"/>
      <c r="N21" s="849">
        <v>195571</v>
      </c>
      <c r="O21" s="388"/>
      <c r="P21" s="389">
        <f t="shared" ref="P21:P28" si="4">N21*O21</f>
        <v>0</v>
      </c>
      <c r="Q21" s="429"/>
      <c r="R21" s="387">
        <v>209262</v>
      </c>
      <c r="S21" s="388"/>
      <c r="T21" s="389">
        <f t="shared" ref="T21:T28" si="5">R21*S21</f>
        <v>0</v>
      </c>
      <c r="U21" s="429"/>
      <c r="V21" s="391">
        <f t="shared" ref="V21:V28" si="6">R21-N21</f>
        <v>13691</v>
      </c>
      <c r="W21" s="392">
        <f t="shared" ref="W21:X28" si="7">T21-P21</f>
        <v>0</v>
      </c>
      <c r="X21" s="440">
        <f t="shared" si="7"/>
        <v>0</v>
      </c>
      <c r="Y21" s="394"/>
    </row>
    <row r="22" spans="2:25" ht="17.25" customHeight="1" x14ac:dyDescent="0.2">
      <c r="B22" s="957" t="s">
        <v>910</v>
      </c>
      <c r="C22" s="957" t="s">
        <v>348</v>
      </c>
      <c r="D22" s="957" t="s">
        <v>348</v>
      </c>
      <c r="E22" s="974" t="s">
        <v>973</v>
      </c>
      <c r="F22" s="941" t="s">
        <v>954</v>
      </c>
      <c r="G22" s="941" t="s">
        <v>790</v>
      </c>
      <c r="H22" s="957">
        <v>2761</v>
      </c>
      <c r="I22" s="957" t="s">
        <v>956</v>
      </c>
      <c r="J22" s="957"/>
      <c r="K22" s="957"/>
      <c r="L22" s="957"/>
      <c r="M22" s="396"/>
      <c r="N22" s="398">
        <v>5886</v>
      </c>
      <c r="O22" s="399"/>
      <c r="P22" s="400">
        <f t="shared" si="4"/>
        <v>0</v>
      </c>
      <c r="Q22" s="432"/>
      <c r="R22" s="398">
        <v>5886</v>
      </c>
      <c r="S22" s="399"/>
      <c r="T22" s="400">
        <f t="shared" si="5"/>
        <v>0</v>
      </c>
      <c r="U22" s="432"/>
      <c r="V22" s="402">
        <f t="shared" si="6"/>
        <v>0</v>
      </c>
      <c r="W22" s="403">
        <f t="shared" si="7"/>
        <v>0</v>
      </c>
      <c r="X22" s="441">
        <f t="shared" si="7"/>
        <v>0</v>
      </c>
      <c r="Y22" s="405"/>
    </row>
    <row r="23" spans="2:25" s="39" customFormat="1" ht="17.25" customHeight="1" x14ac:dyDescent="0.2">
      <c r="B23" s="957" t="s">
        <v>911</v>
      </c>
      <c r="C23" s="957" t="s">
        <v>348</v>
      </c>
      <c r="D23" s="957" t="s">
        <v>348</v>
      </c>
      <c r="E23" s="978" t="s">
        <v>971</v>
      </c>
      <c r="F23" s="941" t="s">
        <v>954</v>
      </c>
      <c r="G23" s="941" t="s">
        <v>790</v>
      </c>
      <c r="H23" s="957">
        <v>2761</v>
      </c>
      <c r="I23" s="957" t="s">
        <v>957</v>
      </c>
      <c r="J23" s="957"/>
      <c r="K23" s="957"/>
      <c r="L23" s="957"/>
      <c r="M23" s="396"/>
      <c r="N23" s="398">
        <v>45249.75</v>
      </c>
      <c r="O23" s="399"/>
      <c r="P23" s="400">
        <f t="shared" si="4"/>
        <v>0</v>
      </c>
      <c r="Q23" s="432"/>
      <c r="R23" s="398">
        <v>47512.24</v>
      </c>
      <c r="S23" s="399"/>
      <c r="T23" s="400">
        <f t="shared" si="5"/>
        <v>0</v>
      </c>
      <c r="U23" s="432"/>
      <c r="V23" s="402">
        <f t="shared" si="6"/>
        <v>2262.489999999998</v>
      </c>
      <c r="W23" s="403">
        <f t="shared" si="7"/>
        <v>0</v>
      </c>
      <c r="X23" s="441">
        <f t="shared" si="7"/>
        <v>0</v>
      </c>
      <c r="Y23" s="405"/>
    </row>
    <row r="24" spans="2:25" ht="17.25" customHeight="1" x14ac:dyDescent="0.2">
      <c r="B24" s="957" t="s">
        <v>912</v>
      </c>
      <c r="C24" s="957" t="s">
        <v>348</v>
      </c>
      <c r="D24" s="957" t="s">
        <v>348</v>
      </c>
      <c r="E24" s="914" t="s">
        <v>966</v>
      </c>
      <c r="F24" s="941" t="s">
        <v>954</v>
      </c>
      <c r="G24" s="941" t="s">
        <v>790</v>
      </c>
      <c r="H24" s="957">
        <v>4921</v>
      </c>
      <c r="I24" s="957" t="s">
        <v>955</v>
      </c>
      <c r="J24" s="957"/>
      <c r="K24" s="957"/>
      <c r="L24" s="957"/>
      <c r="M24" s="396"/>
      <c r="N24" s="398">
        <v>1444.25</v>
      </c>
      <c r="O24" s="399"/>
      <c r="P24" s="400">
        <f t="shared" si="4"/>
        <v>0</v>
      </c>
      <c r="Q24" s="432"/>
      <c r="R24" s="398">
        <v>1444.25</v>
      </c>
      <c r="S24" s="399"/>
      <c r="T24" s="400">
        <f t="shared" si="5"/>
        <v>0</v>
      </c>
      <c r="U24" s="432"/>
      <c r="V24" s="402">
        <f t="shared" si="6"/>
        <v>0</v>
      </c>
      <c r="W24" s="403">
        <f t="shared" si="7"/>
        <v>0</v>
      </c>
      <c r="X24" s="441">
        <f t="shared" si="7"/>
        <v>0</v>
      </c>
      <c r="Y24" s="405"/>
    </row>
    <row r="25" spans="2:25" ht="17.25" customHeight="1" x14ac:dyDescent="0.2">
      <c r="B25" s="957" t="s">
        <v>912</v>
      </c>
      <c r="C25" s="957" t="s">
        <v>348</v>
      </c>
      <c r="D25" s="957" t="s">
        <v>348</v>
      </c>
      <c r="E25" s="916" t="s">
        <v>967</v>
      </c>
      <c r="F25" s="941" t="s">
        <v>954</v>
      </c>
      <c r="G25" s="941" t="s">
        <v>790</v>
      </c>
      <c r="H25" s="858">
        <v>3596</v>
      </c>
      <c r="I25" s="957" t="s">
        <v>955</v>
      </c>
      <c r="J25" s="957"/>
      <c r="K25" s="957"/>
      <c r="L25" s="957"/>
      <c r="M25" s="396"/>
      <c r="N25" s="398">
        <v>194.02</v>
      </c>
      <c r="O25" s="399"/>
      <c r="P25" s="400">
        <f t="shared" si="4"/>
        <v>0</v>
      </c>
      <c r="Q25" s="432"/>
      <c r="R25" s="398"/>
      <c r="S25" s="399"/>
      <c r="T25" s="400">
        <f t="shared" si="5"/>
        <v>0</v>
      </c>
      <c r="U25" s="432"/>
      <c r="V25" s="402">
        <f t="shared" si="6"/>
        <v>-194.02</v>
      </c>
      <c r="W25" s="403">
        <f t="shared" si="7"/>
        <v>0</v>
      </c>
      <c r="X25" s="441">
        <f t="shared" si="7"/>
        <v>0</v>
      </c>
      <c r="Y25" s="405"/>
    </row>
    <row r="26" spans="2:25" ht="17.25" customHeight="1" x14ac:dyDescent="0.2">
      <c r="B26" s="957" t="s">
        <v>912</v>
      </c>
      <c r="C26" s="957" t="s">
        <v>348</v>
      </c>
      <c r="D26" s="957" t="s">
        <v>348</v>
      </c>
      <c r="E26" s="916" t="s">
        <v>968</v>
      </c>
      <c r="F26" s="941" t="s">
        <v>954</v>
      </c>
      <c r="G26" s="941" t="s">
        <v>790</v>
      </c>
      <c r="H26" s="858">
        <v>3596</v>
      </c>
      <c r="I26" s="957" t="s">
        <v>955</v>
      </c>
      <c r="J26" s="957"/>
      <c r="K26" s="957"/>
      <c r="L26" s="957"/>
      <c r="M26" s="396"/>
      <c r="N26" s="398">
        <v>1262.22</v>
      </c>
      <c r="O26" s="399"/>
      <c r="P26" s="400">
        <f t="shared" si="4"/>
        <v>0</v>
      </c>
      <c r="Q26" s="432"/>
      <c r="R26" s="398"/>
      <c r="S26" s="399"/>
      <c r="T26" s="400">
        <f t="shared" si="5"/>
        <v>0</v>
      </c>
      <c r="U26" s="432"/>
      <c r="V26" s="402">
        <f t="shared" si="6"/>
        <v>-1262.22</v>
      </c>
      <c r="W26" s="403">
        <f t="shared" si="7"/>
        <v>0</v>
      </c>
      <c r="X26" s="441">
        <f t="shared" si="7"/>
        <v>0</v>
      </c>
      <c r="Y26" s="405"/>
    </row>
    <row r="27" spans="2:25" ht="17.25" customHeight="1" x14ac:dyDescent="0.2">
      <c r="B27" s="957" t="s">
        <v>912</v>
      </c>
      <c r="C27" s="957" t="s">
        <v>348</v>
      </c>
      <c r="D27" s="957" t="s">
        <v>348</v>
      </c>
      <c r="E27" s="914" t="s">
        <v>969</v>
      </c>
      <c r="F27" s="941" t="s">
        <v>954</v>
      </c>
      <c r="G27" s="941" t="s">
        <v>790</v>
      </c>
      <c r="H27" s="858">
        <v>3596</v>
      </c>
      <c r="I27" s="957" t="s">
        <v>955</v>
      </c>
      <c r="J27" s="957"/>
      <c r="K27" s="957"/>
      <c r="L27" s="957"/>
      <c r="M27" s="396"/>
      <c r="N27" s="398">
        <v>1458.42</v>
      </c>
      <c r="O27" s="399"/>
      <c r="P27" s="400">
        <f t="shared" si="4"/>
        <v>0</v>
      </c>
      <c r="Q27" s="432"/>
      <c r="R27" s="398"/>
      <c r="S27" s="399"/>
      <c r="T27" s="400">
        <f t="shared" si="5"/>
        <v>0</v>
      </c>
      <c r="U27" s="432"/>
      <c r="V27" s="402">
        <f t="shared" si="6"/>
        <v>-1458.42</v>
      </c>
      <c r="W27" s="403">
        <f t="shared" si="7"/>
        <v>0</v>
      </c>
      <c r="X27" s="441">
        <f t="shared" si="7"/>
        <v>0</v>
      </c>
      <c r="Y27" s="405"/>
    </row>
    <row r="28" spans="2:25" ht="17.25" customHeight="1" thickBot="1" x14ac:dyDescent="0.25">
      <c r="B28" s="986"/>
      <c r="C28" s="987"/>
      <c r="D28" s="987"/>
      <c r="E28" s="987"/>
      <c r="F28" s="988"/>
      <c r="G28" s="987"/>
      <c r="H28" s="987"/>
      <c r="I28" s="987"/>
      <c r="J28" s="987"/>
      <c r="K28" s="987"/>
      <c r="L28" s="987"/>
      <c r="M28" s="407"/>
      <c r="N28" s="409"/>
      <c r="O28" s="410"/>
      <c r="P28" s="411">
        <f t="shared" si="4"/>
        <v>0</v>
      </c>
      <c r="Q28" s="434"/>
      <c r="R28" s="409"/>
      <c r="S28" s="410"/>
      <c r="T28" s="411">
        <f t="shared" si="5"/>
        <v>0</v>
      </c>
      <c r="U28" s="434"/>
      <c r="V28" s="413">
        <f t="shared" si="6"/>
        <v>0</v>
      </c>
      <c r="W28" s="414">
        <f t="shared" si="7"/>
        <v>0</v>
      </c>
      <c r="X28" s="442">
        <f t="shared" si="7"/>
        <v>0</v>
      </c>
      <c r="Y28" s="416"/>
    </row>
    <row r="29" spans="2:25" ht="17.25" customHeight="1" thickBot="1" x14ac:dyDescent="0.25">
      <c r="B29" s="55"/>
      <c r="C29" s="55"/>
      <c r="D29" s="55"/>
      <c r="E29" s="55"/>
      <c r="F29" s="55"/>
      <c r="G29" s="55"/>
      <c r="H29" s="55"/>
      <c r="I29" s="55"/>
      <c r="J29" s="55"/>
      <c r="K29" s="55"/>
      <c r="L29" s="55"/>
      <c r="M29" s="55"/>
      <c r="N29" s="417">
        <f>SUM(N21:N28)</f>
        <v>251065.66</v>
      </c>
      <c r="O29" s="418"/>
      <c r="P29" s="419">
        <f>SUM(P21:P28)</f>
        <v>0</v>
      </c>
      <c r="Q29" s="419">
        <f>SUM(Q21:Q28)</f>
        <v>0</v>
      </c>
      <c r="R29" s="417">
        <f>SUM(R21:R28)</f>
        <v>264104.49</v>
      </c>
      <c r="S29" s="418"/>
      <c r="T29" s="419">
        <f>SUM(T21:T28)</f>
        <v>0</v>
      </c>
      <c r="U29" s="436">
        <f>SUM(U21:U28)</f>
        <v>0</v>
      </c>
      <c r="V29" s="420">
        <f>SUM(V21:V28)</f>
        <v>13038.829999999998</v>
      </c>
      <c r="W29" s="419">
        <f>SUM(W21:W28)</f>
        <v>0</v>
      </c>
      <c r="X29" s="436">
        <f>SUM(X21:X28)</f>
        <v>0</v>
      </c>
      <c r="Y29" s="421"/>
    </row>
    <row r="30" spans="2:25" ht="19.5" customHeight="1" x14ac:dyDescent="0.2"/>
    <row r="31" spans="2:25" x14ac:dyDescent="0.2">
      <c r="B31" s="443" t="s">
        <v>293</v>
      </c>
      <c r="D31" s="443"/>
      <c r="K31" s="444"/>
      <c r="L31" s="444"/>
      <c r="M31" s="444"/>
      <c r="N31" s="445"/>
      <c r="O31" s="446"/>
      <c r="P31" s="445"/>
    </row>
    <row r="32" spans="2:25" ht="9" customHeight="1" x14ac:dyDescent="0.2">
      <c r="B32" s="443"/>
      <c r="D32" s="443"/>
      <c r="K32" s="444"/>
      <c r="L32" s="444"/>
      <c r="M32" s="444"/>
      <c r="N32" s="445"/>
      <c r="O32" s="446"/>
      <c r="P32" s="445"/>
    </row>
    <row r="33" spans="2:16" x14ac:dyDescent="0.2">
      <c r="B33" s="447" t="s">
        <v>294</v>
      </c>
      <c r="C33" s="262" t="s">
        <v>295</v>
      </c>
      <c r="D33" s="448"/>
      <c r="I33" s="449" t="s">
        <v>296</v>
      </c>
      <c r="J33" s="262" t="s">
        <v>297</v>
      </c>
      <c r="M33" s="444"/>
      <c r="N33" s="445"/>
      <c r="O33" s="446"/>
      <c r="P33" s="445"/>
    </row>
    <row r="34" spans="2:16" x14ac:dyDescent="0.2">
      <c r="B34" s="447" t="s">
        <v>298</v>
      </c>
      <c r="C34" s="262" t="s">
        <v>299</v>
      </c>
      <c r="D34" s="448"/>
      <c r="I34" s="449" t="s">
        <v>300</v>
      </c>
      <c r="J34" s="262" t="s">
        <v>301</v>
      </c>
      <c r="M34" s="444"/>
      <c r="N34" s="445"/>
      <c r="O34" s="446"/>
      <c r="P34" s="445"/>
    </row>
    <row r="35" spans="2:16" x14ac:dyDescent="0.2">
      <c r="B35" s="447" t="s">
        <v>302</v>
      </c>
      <c r="C35" s="262" t="s">
        <v>303</v>
      </c>
      <c r="D35" s="448"/>
      <c r="I35" s="449" t="s">
        <v>304</v>
      </c>
      <c r="J35" s="262" t="s">
        <v>305</v>
      </c>
      <c r="M35" s="444"/>
      <c r="N35" s="445"/>
      <c r="O35" s="446"/>
      <c r="P35" s="445"/>
    </row>
    <row r="36" spans="2:16" x14ac:dyDescent="0.2">
      <c r="B36" s="447" t="s">
        <v>306</v>
      </c>
      <c r="C36" s="262" t="s">
        <v>307</v>
      </c>
      <c r="D36" s="448"/>
      <c r="I36" s="449" t="s">
        <v>308</v>
      </c>
      <c r="J36" s="262" t="s">
        <v>309</v>
      </c>
      <c r="M36" s="444"/>
      <c r="N36" s="445"/>
      <c r="O36" s="446"/>
      <c r="P36" s="445"/>
    </row>
    <row r="37" spans="2:16" x14ac:dyDescent="0.2">
      <c r="D37" s="448"/>
      <c r="K37" s="444"/>
      <c r="L37" s="444"/>
      <c r="M37" s="444"/>
      <c r="N37" s="445"/>
      <c r="O37" s="446"/>
      <c r="P37" s="445"/>
    </row>
    <row r="38" spans="2:16" x14ac:dyDescent="0.2">
      <c r="D38" s="448"/>
      <c r="K38" s="444"/>
      <c r="L38" s="444"/>
      <c r="M38" s="444"/>
      <c r="N38" s="445"/>
      <c r="O38" s="446"/>
      <c r="P38" s="445"/>
    </row>
    <row r="39" spans="2:16" x14ac:dyDescent="0.2">
      <c r="D39" s="448"/>
      <c r="K39" s="444"/>
      <c r="L39" s="444"/>
      <c r="M39" s="444"/>
      <c r="N39" s="445"/>
      <c r="O39" s="446"/>
      <c r="P39" s="445"/>
    </row>
    <row r="40" spans="2:16" x14ac:dyDescent="0.2">
      <c r="D40" s="448"/>
      <c r="K40" s="444"/>
      <c r="L40" s="444"/>
      <c r="M40" s="444"/>
      <c r="N40" s="445"/>
      <c r="O40" s="446"/>
      <c r="P40" s="445"/>
    </row>
  </sheetData>
  <mergeCells count="52">
    <mergeCell ref="V19:V20"/>
    <mergeCell ref="W19:W20"/>
    <mergeCell ref="X19:X20"/>
    <mergeCell ref="Y19:Y20"/>
    <mergeCell ref="P19:P20"/>
    <mergeCell ref="Q19:Q20"/>
    <mergeCell ref="R19:R20"/>
    <mergeCell ref="S19:S20"/>
    <mergeCell ref="T19:T20"/>
    <mergeCell ref="U19:U20"/>
    <mergeCell ref="O19:O20"/>
    <mergeCell ref="B19:B20"/>
    <mergeCell ref="C19:C20"/>
    <mergeCell ref="D19:D20"/>
    <mergeCell ref="E19:E20"/>
    <mergeCell ref="F19:F20"/>
    <mergeCell ref="G19:G20"/>
    <mergeCell ref="H19:H20"/>
    <mergeCell ref="I19:I20"/>
    <mergeCell ref="J19:J20"/>
    <mergeCell ref="K19:M19"/>
    <mergeCell ref="N19:N20"/>
    <mergeCell ref="X6:X7"/>
    <mergeCell ref="Y6:Y7"/>
    <mergeCell ref="B18:M18"/>
    <mergeCell ref="N18:Q18"/>
    <mergeCell ref="R18:U18"/>
    <mergeCell ref="V18:Y18"/>
    <mergeCell ref="P6:P7"/>
    <mergeCell ref="Q6:Q7"/>
    <mergeCell ref="R6:R7"/>
    <mergeCell ref="S6:S7"/>
    <mergeCell ref="T6:T7"/>
    <mergeCell ref="U6:U7"/>
    <mergeCell ref="H6:H7"/>
    <mergeCell ref="I6:I7"/>
    <mergeCell ref="R5:U5"/>
    <mergeCell ref="V5:Y5"/>
    <mergeCell ref="B6:B7"/>
    <mergeCell ref="C6:C7"/>
    <mergeCell ref="D6:D7"/>
    <mergeCell ref="E6:E7"/>
    <mergeCell ref="F6:F7"/>
    <mergeCell ref="G6:G7"/>
    <mergeCell ref="J6:J7"/>
    <mergeCell ref="K6:M6"/>
    <mergeCell ref="N6:N7"/>
    <mergeCell ref="O6:O7"/>
    <mergeCell ref="B5:M5"/>
    <mergeCell ref="N5:Q5"/>
    <mergeCell ref="V6:V7"/>
    <mergeCell ref="W6:W7"/>
  </mergeCells>
  <printOptions horizontalCentered="1"/>
  <pageMargins left="0.16" right="0.16" top="0.26" bottom="0.25" header="0.17" footer="0.16"/>
  <pageSetup paperSize="5"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J50"/>
  <sheetViews>
    <sheetView showGridLines="0" view="pageBreakPreview" topLeftCell="B1" zoomScale="60" zoomScaleNormal="100" workbookViewId="0">
      <selection activeCell="B1" sqref="B1:J47"/>
    </sheetView>
  </sheetViews>
  <sheetFormatPr defaultRowHeight="15" x14ac:dyDescent="0.25"/>
  <cols>
    <col min="1" max="1" width="5.7109375" hidden="1" customWidth="1"/>
    <col min="3" max="3" width="18.28515625" customWidth="1"/>
    <col min="4" max="4" width="32.42578125" customWidth="1"/>
    <col min="5" max="5" width="4.7109375" customWidth="1"/>
    <col min="6" max="6" width="17.7109375" customWidth="1"/>
    <col min="7" max="7" width="39.5703125" customWidth="1"/>
    <col min="8" max="8" width="4.28515625" customWidth="1"/>
    <col min="9" max="9" width="17.5703125" customWidth="1"/>
    <col min="10" max="10" width="39.5703125" customWidth="1"/>
  </cols>
  <sheetData>
    <row r="2" spans="2:10" ht="18" x14ac:dyDescent="0.25">
      <c r="B2" s="34" t="s">
        <v>26</v>
      </c>
      <c r="C2" s="35"/>
      <c r="D2" s="36"/>
      <c r="E2" s="36"/>
      <c r="F2" s="36"/>
      <c r="G2" s="36"/>
      <c r="H2" s="36"/>
      <c r="I2" s="36"/>
      <c r="J2" s="36"/>
    </row>
    <row r="3" spans="2:10" x14ac:dyDescent="0.25">
      <c r="B3" s="37" t="s">
        <v>759</v>
      </c>
      <c r="C3" s="38"/>
      <c r="D3" s="36"/>
      <c r="E3" s="36"/>
      <c r="F3" s="36"/>
      <c r="G3" s="36"/>
      <c r="H3" s="36"/>
      <c r="I3" s="36"/>
      <c r="J3" s="36"/>
    </row>
    <row r="4" spans="2:10" ht="11.25" customHeight="1" x14ac:dyDescent="0.25"/>
    <row r="5" spans="2:10" x14ac:dyDescent="0.25">
      <c r="B5" s="36"/>
      <c r="C5" s="39" t="s">
        <v>27</v>
      </c>
      <c r="D5" s="36"/>
      <c r="E5" s="36"/>
      <c r="F5" s="39" t="s">
        <v>28</v>
      </c>
      <c r="G5" s="36"/>
      <c r="H5" s="36"/>
      <c r="I5" s="40" t="s">
        <v>774</v>
      </c>
      <c r="J5" s="36"/>
    </row>
    <row r="6" spans="2:10" ht="7.5" customHeight="1" x14ac:dyDescent="0.25">
      <c r="B6" s="36"/>
      <c r="C6" s="36"/>
      <c r="D6" s="36"/>
      <c r="E6" s="36"/>
      <c r="F6" s="36"/>
      <c r="G6" s="36"/>
      <c r="H6" s="36"/>
      <c r="I6" s="36"/>
      <c r="J6" s="36"/>
    </row>
    <row r="7" spans="2:10" x14ac:dyDescent="0.25">
      <c r="B7" s="36"/>
      <c r="C7" s="41" t="s">
        <v>29</v>
      </c>
      <c r="D7" s="42" t="s">
        <v>760</v>
      </c>
      <c r="E7" s="36"/>
      <c r="F7" s="41" t="s">
        <v>29</v>
      </c>
      <c r="G7" s="42" t="s">
        <v>760</v>
      </c>
      <c r="H7" s="36"/>
      <c r="I7" s="41" t="s">
        <v>29</v>
      </c>
      <c r="J7" s="42" t="s">
        <v>760</v>
      </c>
    </row>
    <row r="8" spans="2:10" ht="26.25" x14ac:dyDescent="0.25">
      <c r="B8" s="36"/>
      <c r="C8" s="41" t="s">
        <v>30</v>
      </c>
      <c r="D8" s="43" t="s">
        <v>782</v>
      </c>
      <c r="E8" s="36"/>
      <c r="F8" s="41" t="s">
        <v>30</v>
      </c>
      <c r="G8" s="43" t="s">
        <v>777</v>
      </c>
      <c r="H8" s="36"/>
      <c r="I8" s="41" t="s">
        <v>30</v>
      </c>
      <c r="J8" s="43" t="s">
        <v>785</v>
      </c>
    </row>
    <row r="9" spans="2:10" x14ac:dyDescent="0.25">
      <c r="B9" s="36"/>
      <c r="C9" s="41" t="s">
        <v>781</v>
      </c>
      <c r="D9" s="42"/>
      <c r="E9" s="36"/>
      <c r="F9" s="41" t="s">
        <v>781</v>
      </c>
      <c r="G9" s="42"/>
      <c r="H9" s="36"/>
      <c r="I9" s="41" t="s">
        <v>781</v>
      </c>
      <c r="J9" s="42"/>
    </row>
    <row r="10" spans="2:10" ht="55.5" customHeight="1" x14ac:dyDescent="0.25">
      <c r="B10" s="36"/>
      <c r="C10" s="41" t="s">
        <v>31</v>
      </c>
      <c r="D10" s="43" t="s">
        <v>786</v>
      </c>
      <c r="E10" s="36"/>
      <c r="F10" s="41" t="s">
        <v>31</v>
      </c>
      <c r="G10" s="43" t="s">
        <v>783</v>
      </c>
      <c r="H10" s="36"/>
      <c r="I10" s="41" t="s">
        <v>31</v>
      </c>
      <c r="J10" s="43" t="s">
        <v>784</v>
      </c>
    </row>
    <row r="11" spans="2:10" x14ac:dyDescent="0.25">
      <c r="C11" s="262"/>
      <c r="D11" s="262"/>
      <c r="F11" s="262"/>
      <c r="G11" s="262"/>
      <c r="I11" s="262"/>
      <c r="J11" s="262"/>
    </row>
    <row r="12" spans="2:10" x14ac:dyDescent="0.25">
      <c r="B12" s="36"/>
      <c r="C12" s="41" t="s">
        <v>32</v>
      </c>
      <c r="D12" s="44"/>
      <c r="E12" s="36"/>
      <c r="F12" s="41" t="s">
        <v>32</v>
      </c>
      <c r="G12" s="44"/>
      <c r="H12" s="36"/>
      <c r="I12" s="41" t="s">
        <v>32</v>
      </c>
      <c r="J12" s="44"/>
    </row>
    <row r="13" spans="2:10" x14ac:dyDescent="0.25">
      <c r="B13" s="36"/>
      <c r="C13" s="45" t="s">
        <v>775</v>
      </c>
      <c r="D13" s="45" t="s">
        <v>776</v>
      </c>
      <c r="E13" s="36"/>
      <c r="F13" s="45" t="s">
        <v>775</v>
      </c>
      <c r="G13" s="45" t="s">
        <v>777</v>
      </c>
      <c r="H13" s="36"/>
      <c r="I13" s="45" t="s">
        <v>33</v>
      </c>
      <c r="J13" s="45" t="s">
        <v>761</v>
      </c>
    </row>
    <row r="14" spans="2:10" x14ac:dyDescent="0.25">
      <c r="B14" s="36"/>
      <c r="C14" s="824">
        <v>38047</v>
      </c>
      <c r="D14" s="825">
        <v>448948</v>
      </c>
      <c r="E14" s="36"/>
      <c r="F14" s="824">
        <v>38047</v>
      </c>
      <c r="G14" s="825">
        <v>91889</v>
      </c>
      <c r="H14" s="36"/>
      <c r="I14" s="45" t="s">
        <v>762</v>
      </c>
      <c r="J14" s="45">
        <v>377</v>
      </c>
    </row>
    <row r="15" spans="2:10" x14ac:dyDescent="0.25">
      <c r="C15" s="824">
        <v>38292</v>
      </c>
      <c r="D15" s="825">
        <v>486937</v>
      </c>
      <c r="E15" s="36"/>
      <c r="F15" s="824">
        <v>38292</v>
      </c>
      <c r="G15" s="825">
        <v>117132</v>
      </c>
      <c r="H15" s="36"/>
      <c r="I15" s="45" t="s">
        <v>763</v>
      </c>
      <c r="J15" s="45">
        <v>626</v>
      </c>
    </row>
    <row r="16" spans="2:10" x14ac:dyDescent="0.25">
      <c r="C16" s="824">
        <v>38657</v>
      </c>
      <c r="D16" s="825">
        <v>428481</v>
      </c>
      <c r="E16" s="36"/>
      <c r="F16" s="824">
        <v>38657</v>
      </c>
      <c r="G16" s="825">
        <v>120813</v>
      </c>
      <c r="H16" s="36"/>
      <c r="I16" s="45" t="s">
        <v>764</v>
      </c>
      <c r="J16" s="45">
        <v>432</v>
      </c>
    </row>
    <row r="17" spans="3:10" x14ac:dyDescent="0.25">
      <c r="C17" s="824">
        <v>38869</v>
      </c>
      <c r="D17" s="825">
        <v>421094</v>
      </c>
      <c r="E17" s="36"/>
      <c r="F17" s="824">
        <v>38869</v>
      </c>
      <c r="G17" s="825">
        <v>124323</v>
      </c>
      <c r="H17" s="36"/>
      <c r="I17" s="45" t="s">
        <v>765</v>
      </c>
      <c r="J17" s="45">
        <v>313</v>
      </c>
    </row>
    <row r="18" spans="3:10" x14ac:dyDescent="0.25">
      <c r="C18" s="824">
        <v>39022</v>
      </c>
      <c r="D18" s="825">
        <v>418285</v>
      </c>
      <c r="E18" s="36"/>
      <c r="F18" s="824">
        <v>39022</v>
      </c>
      <c r="G18" s="825">
        <v>129523</v>
      </c>
      <c r="H18" s="36"/>
      <c r="I18" s="45" t="s">
        <v>766</v>
      </c>
      <c r="J18" s="45">
        <v>261</v>
      </c>
    </row>
    <row r="19" spans="3:10" x14ac:dyDescent="0.25">
      <c r="C19" s="824">
        <v>39387</v>
      </c>
      <c r="D19" s="825">
        <v>419598</v>
      </c>
      <c r="E19" s="36"/>
      <c r="F19" s="824">
        <v>39387</v>
      </c>
      <c r="G19" s="825">
        <v>134997</v>
      </c>
      <c r="H19" s="36"/>
      <c r="I19" s="45" t="s">
        <v>767</v>
      </c>
      <c r="J19" s="45">
        <v>222</v>
      </c>
    </row>
    <row r="20" spans="3:10" x14ac:dyDescent="0.25">
      <c r="C20" s="824">
        <v>39479</v>
      </c>
      <c r="D20" s="825">
        <v>415761</v>
      </c>
      <c r="E20" s="36"/>
      <c r="F20" s="824">
        <v>39479</v>
      </c>
      <c r="G20" s="825">
        <v>140579</v>
      </c>
      <c r="H20" s="36"/>
      <c r="I20" s="45" t="s">
        <v>768</v>
      </c>
      <c r="J20" s="45">
        <v>150</v>
      </c>
    </row>
    <row r="21" spans="3:10" x14ac:dyDescent="0.25">
      <c r="C21" s="824">
        <v>39607</v>
      </c>
      <c r="D21" s="825">
        <v>430259</v>
      </c>
      <c r="E21" s="36"/>
      <c r="F21" s="824">
        <v>39607</v>
      </c>
      <c r="G21" s="825">
        <v>155245</v>
      </c>
      <c r="H21" s="36"/>
      <c r="I21" s="45" t="s">
        <v>769</v>
      </c>
      <c r="J21" s="45">
        <v>450</v>
      </c>
    </row>
    <row r="22" spans="3:10" x14ac:dyDescent="0.25">
      <c r="C22" s="824">
        <v>39760</v>
      </c>
      <c r="D22" s="825">
        <v>477651</v>
      </c>
      <c r="F22" s="824">
        <v>39760</v>
      </c>
      <c r="G22" s="825">
        <v>167148</v>
      </c>
      <c r="I22" s="45" t="s">
        <v>770</v>
      </c>
      <c r="J22" s="45">
        <v>350</v>
      </c>
    </row>
    <row r="23" spans="3:10" x14ac:dyDescent="0.25">
      <c r="C23" s="824">
        <v>39952</v>
      </c>
      <c r="D23" s="825">
        <v>465428</v>
      </c>
      <c r="F23" s="824">
        <v>39952</v>
      </c>
      <c r="G23" s="825">
        <v>170282</v>
      </c>
      <c r="I23" s="45" t="s">
        <v>771</v>
      </c>
      <c r="J23" s="45">
        <v>415</v>
      </c>
    </row>
    <row r="24" spans="3:10" x14ac:dyDescent="0.25">
      <c r="C24" s="826" t="s">
        <v>778</v>
      </c>
      <c r="D24" s="825">
        <v>451988</v>
      </c>
      <c r="F24" s="826" t="s">
        <v>778</v>
      </c>
      <c r="G24" s="825">
        <v>174383</v>
      </c>
      <c r="I24" s="45" t="s">
        <v>772</v>
      </c>
      <c r="J24" s="45">
        <v>232</v>
      </c>
    </row>
    <row r="25" spans="3:10" x14ac:dyDescent="0.25">
      <c r="C25" s="826" t="s">
        <v>779</v>
      </c>
      <c r="D25" s="825">
        <v>448346</v>
      </c>
      <c r="F25" s="826" t="s">
        <v>779</v>
      </c>
      <c r="G25" s="825">
        <v>176983</v>
      </c>
      <c r="I25" s="45" t="s">
        <v>773</v>
      </c>
      <c r="J25" s="45">
        <v>599</v>
      </c>
    </row>
    <row r="26" spans="3:10" x14ac:dyDescent="0.25">
      <c r="C26" s="826" t="s">
        <v>780</v>
      </c>
      <c r="D26" s="825">
        <v>456179</v>
      </c>
      <c r="F26" s="826" t="s">
        <v>780</v>
      </c>
      <c r="G26" s="825">
        <v>183733</v>
      </c>
    </row>
    <row r="27" spans="3:10" x14ac:dyDescent="0.25">
      <c r="C27" s="824">
        <v>40848</v>
      </c>
      <c r="D27" s="827">
        <v>464380</v>
      </c>
      <c r="F27" s="824">
        <v>40848</v>
      </c>
      <c r="G27" s="827">
        <v>202388</v>
      </c>
    </row>
    <row r="28" spans="3:10" x14ac:dyDescent="0.25">
      <c r="C28" s="828">
        <v>41061</v>
      </c>
      <c r="D28" s="825">
        <v>470668</v>
      </c>
      <c r="F28" s="828">
        <v>41061</v>
      </c>
      <c r="G28" s="825">
        <v>206921</v>
      </c>
    </row>
    <row r="29" spans="3:10" x14ac:dyDescent="0.25">
      <c r="C29" s="828">
        <v>41214</v>
      </c>
      <c r="D29" s="825">
        <v>502841</v>
      </c>
      <c r="F29" s="828">
        <v>41214</v>
      </c>
      <c r="G29" s="825">
        <v>235106</v>
      </c>
    </row>
    <row r="30" spans="3:10" x14ac:dyDescent="0.25">
      <c r="C30" s="828">
        <v>41591</v>
      </c>
      <c r="D30" s="825">
        <v>440037</v>
      </c>
      <c r="F30" s="828">
        <v>41591</v>
      </c>
      <c r="G30" s="825">
        <v>228533</v>
      </c>
    </row>
    <row r="46" spans="3:4" ht="4.5" customHeight="1" x14ac:dyDescent="0.25"/>
    <row r="47" spans="3:4" ht="57.75" customHeight="1" x14ac:dyDescent="0.25">
      <c r="C47" s="1074" t="s">
        <v>1051</v>
      </c>
      <c r="D47" s="1075"/>
    </row>
    <row r="48" spans="3:4" ht="64.5" customHeight="1" x14ac:dyDescent="0.25"/>
    <row r="49" ht="64.5" customHeight="1" x14ac:dyDescent="0.25"/>
    <row r="50" ht="64.5" customHeight="1" x14ac:dyDescent="0.25"/>
  </sheetData>
  <mergeCells count="1">
    <mergeCell ref="C47:D47"/>
  </mergeCells>
  <pageMargins left="0.7" right="0.7" top="0.75" bottom="0.75" header="0.3" footer="0.3"/>
  <pageSetup scale="6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8"/>
  <sheetViews>
    <sheetView view="pageBreakPreview" zoomScale="70" zoomScaleNormal="115" zoomScaleSheetLayoutView="70" workbookViewId="0">
      <selection activeCell="F6" sqref="F6"/>
    </sheetView>
  </sheetViews>
  <sheetFormatPr defaultColWidth="9.140625" defaultRowHeight="14.25" x14ac:dyDescent="0.2"/>
  <cols>
    <col min="1" max="1" width="6.42578125" style="802" customWidth="1"/>
    <col min="2" max="2" width="10.28515625" style="802" customWidth="1"/>
    <col min="3" max="3" width="100.140625" style="802" customWidth="1"/>
    <col min="4" max="4" width="30" style="802" customWidth="1"/>
    <col min="5" max="5" width="20.5703125" style="802" customWidth="1"/>
    <col min="6" max="6" width="20.85546875" style="802" customWidth="1"/>
    <col min="7" max="7" width="21" style="802" customWidth="1"/>
    <col min="8" max="8" width="12" style="802" bestFit="1" customWidth="1"/>
    <col min="9" max="16384" width="9.140625" style="802"/>
  </cols>
  <sheetData>
    <row r="1" spans="2:8" ht="24" customHeight="1" x14ac:dyDescent="0.2"/>
    <row r="2" spans="2:8" ht="26.25" customHeight="1" x14ac:dyDescent="0.2">
      <c r="B2" s="801" t="s">
        <v>743</v>
      </c>
    </row>
    <row r="3" spans="2:8" ht="15" x14ac:dyDescent="0.2">
      <c r="B3" s="947" t="s">
        <v>759</v>
      </c>
    </row>
    <row r="4" spans="2:8" ht="18.75" thickBot="1" x14ac:dyDescent="0.25">
      <c r="B4" s="803"/>
    </row>
    <row r="5" spans="2:8" s="804" customFormat="1" ht="50.25" customHeight="1" x14ac:dyDescent="0.2">
      <c r="B5" s="931" t="s">
        <v>740</v>
      </c>
      <c r="C5" s="932" t="s">
        <v>741</v>
      </c>
      <c r="D5" s="932" t="s">
        <v>742</v>
      </c>
      <c r="E5" s="933" t="s">
        <v>1055</v>
      </c>
      <c r="F5" s="933" t="s">
        <v>1056</v>
      </c>
      <c r="G5" s="933" t="s">
        <v>1057</v>
      </c>
    </row>
    <row r="6" spans="2:8" ht="360" customHeight="1" x14ac:dyDescent="0.2">
      <c r="B6" s="934">
        <v>1</v>
      </c>
      <c r="C6" s="1073" t="s">
        <v>1082</v>
      </c>
      <c r="D6" s="935" t="s">
        <v>1081</v>
      </c>
      <c r="E6" s="930">
        <v>16526145</v>
      </c>
      <c r="F6" s="930">
        <v>13474885</v>
      </c>
      <c r="G6" s="930">
        <v>18569053</v>
      </c>
      <c r="H6" s="1055"/>
    </row>
    <row r="7" spans="2:8" ht="167.25" customHeight="1" x14ac:dyDescent="0.2">
      <c r="B7" s="806">
        <v>2</v>
      </c>
      <c r="C7" s="807" t="s">
        <v>1083</v>
      </c>
      <c r="D7" s="807"/>
      <c r="E7" s="808"/>
      <c r="F7" s="808"/>
      <c r="G7" s="808"/>
      <c r="H7" s="805"/>
    </row>
    <row r="8" spans="2:8" ht="27" customHeight="1" thickBot="1" x14ac:dyDescent="0.3">
      <c r="B8" s="809"/>
      <c r="C8" s="810"/>
      <c r="D8" s="811"/>
      <c r="E8" s="930"/>
      <c r="F8" s="930"/>
      <c r="G8" s="930"/>
    </row>
  </sheetData>
  <pageMargins left="0.33" right="0.27" top="0.37" bottom="0.63" header="0.19" footer="0.5"/>
  <pageSetup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B2:J75"/>
  <sheetViews>
    <sheetView zoomScale="150" zoomScaleNormal="150" workbookViewId="0">
      <selection activeCell="K24" sqref="K24"/>
    </sheetView>
  </sheetViews>
  <sheetFormatPr defaultColWidth="9.140625" defaultRowHeight="12" customHeight="1" x14ac:dyDescent="0.25"/>
  <cols>
    <col min="1" max="1" width="2.7109375" style="746" customWidth="1"/>
    <col min="2" max="10" width="10.5703125" style="746" customWidth="1"/>
    <col min="11" max="16384" width="9.140625" style="746"/>
  </cols>
  <sheetData>
    <row r="2" spans="2:10" ht="12" customHeight="1" x14ac:dyDescent="0.25">
      <c r="B2" s="745" t="s">
        <v>507</v>
      </c>
    </row>
    <row r="3" spans="2:10" ht="12" customHeight="1" thickBot="1" x14ac:dyDescent="0.3"/>
    <row r="4" spans="2:10" ht="12" customHeight="1" x14ac:dyDescent="0.25">
      <c r="B4" s="747" t="s">
        <v>508</v>
      </c>
      <c r="C4" s="748"/>
      <c r="D4" s="748"/>
      <c r="E4" s="748"/>
      <c r="F4" s="748"/>
      <c r="G4" s="749"/>
      <c r="H4" s="748"/>
      <c r="I4" s="748"/>
      <c r="J4" s="750" t="s">
        <v>509</v>
      </c>
    </row>
    <row r="5" spans="2:10" ht="12" customHeight="1" x14ac:dyDescent="0.25">
      <c r="B5" s="751" t="s">
        <v>510</v>
      </c>
      <c r="C5" s="752"/>
      <c r="D5" s="752"/>
      <c r="E5" s="752"/>
      <c r="F5" s="752"/>
      <c r="G5" s="753"/>
      <c r="H5" s="754"/>
      <c r="I5" s="754"/>
      <c r="J5" s="755"/>
    </row>
    <row r="6" spans="2:10" ht="12" customHeight="1" x14ac:dyDescent="0.25">
      <c r="B6" s="756" t="s">
        <v>511</v>
      </c>
      <c r="C6" s="752"/>
      <c r="D6" s="752"/>
      <c r="E6" s="752"/>
      <c r="F6" s="752"/>
      <c r="G6" s="757"/>
      <c r="H6" s="758"/>
      <c r="I6" s="758"/>
      <c r="J6" s="759" t="s">
        <v>512</v>
      </c>
    </row>
    <row r="7" spans="2:10" ht="12" customHeight="1" x14ac:dyDescent="0.25">
      <c r="B7" s="756" t="s">
        <v>513</v>
      </c>
      <c r="C7" s="752"/>
      <c r="D7" s="752"/>
      <c r="E7" s="752"/>
      <c r="F7" s="752"/>
      <c r="G7" s="753"/>
      <c r="H7" s="754"/>
      <c r="I7" s="754"/>
      <c r="J7" s="755"/>
    </row>
    <row r="8" spans="2:10" ht="3" customHeight="1" x14ac:dyDescent="0.25">
      <c r="B8" s="756"/>
      <c r="C8" s="752"/>
      <c r="D8" s="752"/>
      <c r="E8" s="752"/>
      <c r="F8" s="752"/>
      <c r="G8" s="752"/>
      <c r="H8" s="752"/>
      <c r="I8" s="752"/>
      <c r="J8" s="760"/>
    </row>
    <row r="9" spans="2:10" ht="12" customHeight="1" x14ac:dyDescent="0.25">
      <c r="B9" s="761" t="s">
        <v>514</v>
      </c>
      <c r="C9" s="762"/>
      <c r="D9" s="762"/>
      <c r="E9" s="762"/>
      <c r="F9" s="762"/>
      <c r="G9" s="762"/>
      <c r="H9" s="762"/>
      <c r="I9" s="762"/>
      <c r="J9" s="763"/>
    </row>
    <row r="10" spans="2:10" ht="12" customHeight="1" x14ac:dyDescent="0.25">
      <c r="B10" s="764" t="s">
        <v>515</v>
      </c>
      <c r="C10" s="758"/>
      <c r="D10" s="765"/>
      <c r="E10" s="757" t="s">
        <v>516</v>
      </c>
      <c r="F10" s="758"/>
      <c r="G10" s="765"/>
      <c r="H10" s="757" t="s">
        <v>517</v>
      </c>
      <c r="I10" s="758"/>
      <c r="J10" s="766"/>
    </row>
    <row r="11" spans="2:10" ht="12" customHeight="1" x14ac:dyDescent="0.25">
      <c r="B11" s="767"/>
      <c r="C11" s="754"/>
      <c r="D11" s="768"/>
      <c r="E11" s="753"/>
      <c r="F11" s="754"/>
      <c r="G11" s="768"/>
      <c r="H11" s="753"/>
      <c r="I11" s="754"/>
      <c r="J11" s="755"/>
    </row>
    <row r="12" spans="2:10" ht="12" customHeight="1" x14ac:dyDescent="0.25">
      <c r="B12" s="764" t="s">
        <v>518</v>
      </c>
      <c r="C12" s="758"/>
      <c r="D12" s="765"/>
      <c r="E12" s="757" t="s">
        <v>519</v>
      </c>
      <c r="F12" s="758"/>
      <c r="G12" s="758"/>
      <c r="H12" s="758"/>
      <c r="I12" s="758"/>
      <c r="J12" s="766"/>
    </row>
    <row r="13" spans="2:10" ht="12" customHeight="1" x14ac:dyDescent="0.25">
      <c r="B13" s="767"/>
      <c r="C13" s="754"/>
      <c r="D13" s="768"/>
      <c r="E13" s="753"/>
      <c r="F13" s="754"/>
      <c r="G13" s="754"/>
      <c r="H13" s="754"/>
      <c r="I13" s="754"/>
      <c r="J13" s="755"/>
    </row>
    <row r="14" spans="2:10" ht="12" customHeight="1" x14ac:dyDescent="0.25">
      <c r="B14" s="764" t="s">
        <v>520</v>
      </c>
      <c r="C14" s="758"/>
      <c r="D14" s="765"/>
      <c r="E14" s="757" t="s">
        <v>521</v>
      </c>
      <c r="F14" s="758"/>
      <c r="G14" s="765"/>
      <c r="H14" s="757" t="s">
        <v>522</v>
      </c>
      <c r="I14" s="758"/>
      <c r="J14" s="766"/>
    </row>
    <row r="15" spans="2:10" ht="12" customHeight="1" x14ac:dyDescent="0.25">
      <c r="B15" s="767"/>
      <c r="C15" s="754"/>
      <c r="D15" s="768"/>
      <c r="E15" s="753"/>
      <c r="F15" s="754"/>
      <c r="G15" s="768"/>
      <c r="H15" s="753"/>
      <c r="I15" s="754"/>
      <c r="J15" s="755"/>
    </row>
    <row r="16" spans="2:10" ht="3" customHeight="1" x14ac:dyDescent="0.25">
      <c r="B16" s="751"/>
      <c r="C16" s="752"/>
      <c r="D16" s="752"/>
      <c r="E16" s="752"/>
      <c r="F16" s="752"/>
      <c r="G16" s="752"/>
      <c r="H16" s="752"/>
      <c r="I16" s="752"/>
      <c r="J16" s="760"/>
    </row>
    <row r="17" spans="2:10" ht="12" customHeight="1" x14ac:dyDescent="0.25">
      <c r="B17" s="761" t="s">
        <v>523</v>
      </c>
      <c r="C17" s="762"/>
      <c r="D17" s="762"/>
      <c r="E17" s="762"/>
      <c r="F17" s="762"/>
      <c r="G17" s="762"/>
      <c r="H17" s="762"/>
      <c r="I17" s="762"/>
      <c r="J17" s="763"/>
    </row>
    <row r="18" spans="2:10" ht="12" customHeight="1" x14ac:dyDescent="0.25">
      <c r="B18" s="764" t="s">
        <v>524</v>
      </c>
      <c r="C18" s="758"/>
      <c r="D18" s="758"/>
      <c r="E18" s="758"/>
      <c r="F18" s="758"/>
      <c r="G18" s="758"/>
      <c r="H18" s="758"/>
      <c r="I18" s="758"/>
      <c r="J18" s="766"/>
    </row>
    <row r="19" spans="2:10" ht="12" customHeight="1" x14ac:dyDescent="0.25">
      <c r="B19" s="751" t="s">
        <v>525</v>
      </c>
      <c r="C19" s="754"/>
      <c r="D19" s="754"/>
      <c r="E19" s="754"/>
      <c r="F19" s="754"/>
      <c r="G19" s="754"/>
      <c r="H19" s="754"/>
      <c r="I19" s="754"/>
      <c r="J19" s="760"/>
    </row>
    <row r="20" spans="2:10" ht="12" customHeight="1" x14ac:dyDescent="0.25">
      <c r="B20" s="767" t="s">
        <v>526</v>
      </c>
      <c r="C20" s="754"/>
      <c r="D20" s="754"/>
      <c r="E20" s="754"/>
      <c r="F20" s="754"/>
      <c r="G20" s="754"/>
      <c r="H20" s="754"/>
      <c r="I20" s="754"/>
      <c r="J20" s="755"/>
    </row>
    <row r="21" spans="2:10" ht="12" customHeight="1" x14ac:dyDescent="0.25">
      <c r="B21" s="764" t="s">
        <v>527</v>
      </c>
      <c r="C21" s="758"/>
      <c r="D21" s="758"/>
      <c r="E21" s="758"/>
      <c r="F21" s="758"/>
      <c r="G21" s="758"/>
      <c r="H21" s="758"/>
      <c r="I21" s="758"/>
      <c r="J21" s="766"/>
    </row>
    <row r="22" spans="2:10" ht="6" customHeight="1" x14ac:dyDescent="0.25">
      <c r="B22" s="751"/>
      <c r="C22" s="752"/>
      <c r="D22" s="752"/>
      <c r="E22" s="752"/>
      <c r="F22" s="752"/>
      <c r="G22" s="752"/>
      <c r="H22" s="752"/>
      <c r="I22" s="752"/>
      <c r="J22" s="760"/>
    </row>
    <row r="23" spans="2:10" ht="12" customHeight="1" x14ac:dyDescent="0.25">
      <c r="B23" s="751" t="s">
        <v>528</v>
      </c>
      <c r="C23" s="752"/>
      <c r="D23" s="752"/>
      <c r="E23" s="752"/>
      <c r="F23" s="752"/>
      <c r="G23" s="752"/>
      <c r="H23" s="752"/>
      <c r="I23" s="752"/>
      <c r="J23" s="760"/>
    </row>
    <row r="24" spans="2:10" ht="6" customHeight="1" x14ac:dyDescent="0.25">
      <c r="B24" s="751"/>
      <c r="C24" s="752"/>
      <c r="D24" s="752"/>
      <c r="E24" s="752"/>
      <c r="F24" s="752"/>
      <c r="G24" s="752"/>
      <c r="H24" s="752"/>
      <c r="I24" s="752"/>
      <c r="J24" s="760"/>
    </row>
    <row r="25" spans="2:10" ht="12" customHeight="1" x14ac:dyDescent="0.25">
      <c r="B25" s="751" t="s">
        <v>529</v>
      </c>
      <c r="C25" s="752"/>
      <c r="D25" s="752"/>
      <c r="E25" s="752"/>
      <c r="F25" s="752"/>
      <c r="G25" s="752"/>
      <c r="H25" s="752"/>
      <c r="I25" s="752"/>
      <c r="J25" s="760"/>
    </row>
    <row r="26" spans="2:10" ht="6" customHeight="1" x14ac:dyDescent="0.25">
      <c r="B26" s="751"/>
      <c r="C26" s="752"/>
      <c r="D26" s="752"/>
      <c r="E26" s="752"/>
      <c r="F26" s="752"/>
      <c r="G26" s="752"/>
      <c r="H26" s="752"/>
      <c r="I26" s="752"/>
      <c r="J26" s="760"/>
    </row>
    <row r="27" spans="2:10" ht="12" customHeight="1" x14ac:dyDescent="0.25">
      <c r="B27" s="751" t="s">
        <v>530</v>
      </c>
      <c r="C27" s="752"/>
      <c r="D27" s="752"/>
      <c r="E27" s="752"/>
      <c r="F27" s="752"/>
      <c r="G27" s="752"/>
      <c r="H27" s="752"/>
      <c r="I27" s="752"/>
      <c r="J27" s="760"/>
    </row>
    <row r="28" spans="2:10" ht="6" customHeight="1" x14ac:dyDescent="0.25">
      <c r="B28" s="751"/>
      <c r="C28" s="752"/>
      <c r="D28" s="752"/>
      <c r="E28" s="752"/>
      <c r="F28" s="752"/>
      <c r="G28" s="752"/>
      <c r="H28" s="752"/>
      <c r="I28" s="752"/>
      <c r="J28" s="760"/>
    </row>
    <row r="29" spans="2:10" ht="12" customHeight="1" x14ac:dyDescent="0.25">
      <c r="B29" s="769" t="s">
        <v>531</v>
      </c>
      <c r="C29" s="752"/>
      <c r="D29" s="752"/>
      <c r="E29" s="752"/>
      <c r="F29" s="752"/>
      <c r="G29" s="752"/>
      <c r="H29" s="752"/>
      <c r="I29" s="752"/>
      <c r="J29" s="760"/>
    </row>
    <row r="30" spans="2:10" ht="6" customHeight="1" x14ac:dyDescent="0.25">
      <c r="B30" s="769"/>
      <c r="C30" s="752"/>
      <c r="D30" s="752"/>
      <c r="E30" s="752"/>
      <c r="F30" s="752"/>
      <c r="G30" s="752"/>
      <c r="H30" s="752"/>
      <c r="I30" s="752"/>
      <c r="J30" s="760"/>
    </row>
    <row r="31" spans="2:10" ht="12" customHeight="1" x14ac:dyDescent="0.25">
      <c r="B31" s="751" t="s">
        <v>532</v>
      </c>
      <c r="C31" s="770" t="s">
        <v>533</v>
      </c>
      <c r="D31" s="770" t="s">
        <v>534</v>
      </c>
      <c r="E31" s="770" t="s">
        <v>535</v>
      </c>
      <c r="F31" s="770" t="s">
        <v>536</v>
      </c>
      <c r="G31" s="770" t="s">
        <v>537</v>
      </c>
      <c r="H31" s="770" t="s">
        <v>538</v>
      </c>
      <c r="I31" s="770" t="s">
        <v>539</v>
      </c>
      <c r="J31" s="760"/>
    </row>
    <row r="32" spans="2:10" ht="6" customHeight="1" x14ac:dyDescent="0.25">
      <c r="B32" s="751"/>
      <c r="C32" s="770"/>
      <c r="D32" s="770"/>
      <c r="E32" s="770"/>
      <c r="F32" s="770"/>
      <c r="G32" s="770"/>
      <c r="H32" s="770"/>
      <c r="I32" s="770"/>
      <c r="J32" s="760"/>
    </row>
    <row r="33" spans="2:10" ht="12" customHeight="1" x14ac:dyDescent="0.25">
      <c r="B33" s="767" t="s">
        <v>540</v>
      </c>
      <c r="C33" s="754"/>
      <c r="D33" s="754"/>
      <c r="E33" s="754"/>
      <c r="F33" s="754"/>
      <c r="G33" s="754"/>
      <c r="H33" s="754"/>
      <c r="I33" s="754"/>
      <c r="J33" s="755"/>
    </row>
    <row r="34" spans="2:10" ht="3" customHeight="1" x14ac:dyDescent="0.25">
      <c r="B34" s="751"/>
      <c r="C34" s="752"/>
      <c r="D34" s="752"/>
      <c r="E34" s="752"/>
      <c r="F34" s="752"/>
      <c r="G34" s="752"/>
      <c r="H34" s="752"/>
      <c r="I34" s="752"/>
      <c r="J34" s="760"/>
    </row>
    <row r="35" spans="2:10" ht="12" customHeight="1" x14ac:dyDescent="0.25">
      <c r="B35" s="761" t="s">
        <v>541</v>
      </c>
      <c r="C35" s="762"/>
      <c r="D35" s="762"/>
      <c r="E35" s="762"/>
      <c r="F35" s="762"/>
      <c r="G35" s="762"/>
      <c r="H35" s="762"/>
      <c r="I35" s="762"/>
      <c r="J35" s="763"/>
    </row>
    <row r="36" spans="2:10" ht="12" customHeight="1" x14ac:dyDescent="0.25">
      <c r="B36" s="764" t="s">
        <v>542</v>
      </c>
      <c r="C36" s="758"/>
      <c r="D36" s="758"/>
      <c r="E36" s="758"/>
      <c r="F36" s="758"/>
      <c r="G36" s="758"/>
      <c r="H36" s="758"/>
      <c r="I36" s="758"/>
      <c r="J36" s="766"/>
    </row>
    <row r="37" spans="2:10" ht="12" customHeight="1" x14ac:dyDescent="0.25">
      <c r="B37" s="751"/>
      <c r="C37" s="752"/>
      <c r="D37" s="752"/>
      <c r="E37" s="752"/>
      <c r="F37" s="752"/>
      <c r="G37" s="752"/>
      <c r="H37" s="752"/>
      <c r="I37" s="752"/>
      <c r="J37" s="760"/>
    </row>
    <row r="38" spans="2:10" ht="12" customHeight="1" x14ac:dyDescent="0.25">
      <c r="B38" s="767"/>
      <c r="C38" s="754"/>
      <c r="D38" s="754"/>
      <c r="E38" s="754"/>
      <c r="F38" s="754"/>
      <c r="G38" s="754"/>
      <c r="H38" s="754"/>
      <c r="I38" s="754"/>
      <c r="J38" s="755"/>
    </row>
    <row r="39" spans="2:10" ht="12" customHeight="1" x14ac:dyDescent="0.25">
      <c r="B39" s="764" t="s">
        <v>543</v>
      </c>
      <c r="C39" s="758"/>
      <c r="D39" s="758"/>
      <c r="E39" s="758"/>
      <c r="F39" s="758"/>
      <c r="G39" s="758"/>
      <c r="H39" s="758"/>
      <c r="I39" s="758"/>
      <c r="J39" s="766"/>
    </row>
    <row r="40" spans="2:10" ht="12" customHeight="1" x14ac:dyDescent="0.25">
      <c r="B40" s="751"/>
      <c r="C40" s="752"/>
      <c r="D40" s="752"/>
      <c r="E40" s="752"/>
      <c r="F40" s="752"/>
      <c r="G40" s="752"/>
      <c r="H40" s="752"/>
      <c r="I40" s="752"/>
      <c r="J40" s="760"/>
    </row>
    <row r="41" spans="2:10" ht="12" customHeight="1" x14ac:dyDescent="0.25">
      <c r="B41" s="767"/>
      <c r="C41" s="754"/>
      <c r="D41" s="754"/>
      <c r="E41" s="754"/>
      <c r="F41" s="754"/>
      <c r="G41" s="754"/>
      <c r="H41" s="754"/>
      <c r="I41" s="754"/>
      <c r="J41" s="755"/>
    </row>
    <row r="42" spans="2:10" ht="12" customHeight="1" x14ac:dyDescent="0.25">
      <c r="B42" s="764" t="s">
        <v>544</v>
      </c>
      <c r="C42" s="758"/>
      <c r="D42" s="758"/>
      <c r="E42" s="758"/>
      <c r="F42" s="758"/>
      <c r="G42" s="758"/>
      <c r="H42" s="758"/>
      <c r="I42" s="758"/>
      <c r="J42" s="766"/>
    </row>
    <row r="43" spans="2:10" ht="12" customHeight="1" x14ac:dyDescent="0.25">
      <c r="B43" s="751"/>
      <c r="C43" s="752"/>
      <c r="D43" s="752"/>
      <c r="E43" s="752"/>
      <c r="F43" s="752"/>
      <c r="G43" s="752"/>
      <c r="H43" s="752"/>
      <c r="I43" s="752"/>
      <c r="J43" s="760"/>
    </row>
    <row r="44" spans="2:10" ht="12" customHeight="1" x14ac:dyDescent="0.25">
      <c r="B44" s="767"/>
      <c r="C44" s="754"/>
      <c r="D44" s="754"/>
      <c r="E44" s="754"/>
      <c r="F44" s="754"/>
      <c r="G44" s="754"/>
      <c r="H44" s="754"/>
      <c r="I44" s="754"/>
      <c r="J44" s="755"/>
    </row>
    <row r="45" spans="2:10" ht="3" customHeight="1" x14ac:dyDescent="0.25">
      <c r="B45" s="751"/>
      <c r="C45" s="752"/>
      <c r="D45" s="752"/>
      <c r="E45" s="752"/>
      <c r="F45" s="752"/>
      <c r="G45" s="752"/>
      <c r="H45" s="752"/>
      <c r="I45" s="752"/>
      <c r="J45" s="760"/>
    </row>
    <row r="46" spans="2:10" ht="12" customHeight="1" x14ac:dyDescent="0.25">
      <c r="B46" s="761" t="s">
        <v>545</v>
      </c>
      <c r="C46" s="762"/>
      <c r="D46" s="762"/>
      <c r="E46" s="762"/>
      <c r="F46" s="762"/>
      <c r="G46" s="762"/>
      <c r="H46" s="762"/>
      <c r="I46" s="762"/>
      <c r="J46" s="763"/>
    </row>
    <row r="47" spans="2:10" ht="12" customHeight="1" x14ac:dyDescent="0.25">
      <c r="B47" s="764" t="s">
        <v>546</v>
      </c>
      <c r="C47" s="765"/>
      <c r="D47" s="757" t="s">
        <v>547</v>
      </c>
      <c r="E47" s="765"/>
      <c r="F47" s="771" t="s">
        <v>548</v>
      </c>
      <c r="G47" s="771" t="s">
        <v>549</v>
      </c>
      <c r="H47" s="757" t="s">
        <v>550</v>
      </c>
      <c r="I47" s="765"/>
      <c r="J47" s="772" t="s">
        <v>551</v>
      </c>
    </row>
    <row r="48" spans="2:10" ht="12" customHeight="1" x14ac:dyDescent="0.25">
      <c r="B48" s="767"/>
      <c r="C48" s="768"/>
      <c r="D48" s="753"/>
      <c r="E48" s="768"/>
      <c r="F48" s="773"/>
      <c r="G48" s="773"/>
      <c r="H48" s="753"/>
      <c r="I48" s="768"/>
      <c r="J48" s="774"/>
    </row>
    <row r="49" spans="2:10" ht="3" customHeight="1" x14ac:dyDescent="0.25">
      <c r="B49" s="751"/>
      <c r="C49" s="752"/>
      <c r="D49" s="752"/>
      <c r="E49" s="752"/>
      <c r="F49" s="752"/>
      <c r="G49" s="752"/>
      <c r="H49" s="752"/>
      <c r="I49" s="752"/>
      <c r="J49" s="760"/>
    </row>
    <row r="50" spans="2:10" ht="12" customHeight="1" x14ac:dyDescent="0.25">
      <c r="B50" s="761" t="s">
        <v>552</v>
      </c>
      <c r="C50" s="762"/>
      <c r="D50" s="762"/>
      <c r="E50" s="762"/>
      <c r="F50" s="762"/>
      <c r="G50" s="762"/>
      <c r="H50" s="762"/>
      <c r="I50" s="762"/>
      <c r="J50" s="763"/>
    </row>
    <row r="51" spans="2:10" ht="12" customHeight="1" x14ac:dyDescent="0.25">
      <c r="B51" s="764" t="s">
        <v>553</v>
      </c>
      <c r="C51" s="758"/>
      <c r="D51" s="758"/>
      <c r="E51" s="765"/>
      <c r="F51" s="757" t="s">
        <v>522</v>
      </c>
      <c r="G51" s="758"/>
      <c r="H51" s="765"/>
      <c r="I51" s="757" t="s">
        <v>554</v>
      </c>
      <c r="J51" s="766"/>
    </row>
    <row r="52" spans="2:10" ht="12" customHeight="1" x14ac:dyDescent="0.25">
      <c r="B52" s="767"/>
      <c r="C52" s="754"/>
      <c r="D52" s="754"/>
      <c r="E52" s="768"/>
      <c r="F52" s="753"/>
      <c r="G52" s="754"/>
      <c r="H52" s="768"/>
      <c r="I52" s="753"/>
      <c r="J52" s="755"/>
    </row>
    <row r="53" spans="2:10" ht="12" customHeight="1" x14ac:dyDescent="0.25">
      <c r="B53" s="764" t="s">
        <v>555</v>
      </c>
      <c r="C53" s="765"/>
      <c r="D53" s="757" t="s">
        <v>556</v>
      </c>
      <c r="E53" s="765"/>
      <c r="F53" s="757" t="s">
        <v>557</v>
      </c>
      <c r="G53" s="758"/>
      <c r="H53" s="765"/>
      <c r="I53" s="757" t="s">
        <v>554</v>
      </c>
      <c r="J53" s="766"/>
    </row>
    <row r="54" spans="2:10" ht="12" customHeight="1" x14ac:dyDescent="0.25">
      <c r="B54" s="767"/>
      <c r="C54" s="768"/>
      <c r="D54" s="753"/>
      <c r="E54" s="768"/>
      <c r="F54" s="753"/>
      <c r="G54" s="754"/>
      <c r="H54" s="768"/>
      <c r="I54" s="753"/>
      <c r="J54" s="755"/>
    </row>
    <row r="55" spans="2:10" ht="12" customHeight="1" x14ac:dyDescent="0.25">
      <c r="B55" s="764" t="s">
        <v>558</v>
      </c>
      <c r="C55" s="765"/>
      <c r="D55" s="757" t="s">
        <v>556</v>
      </c>
      <c r="E55" s="765"/>
      <c r="F55" s="757" t="s">
        <v>557</v>
      </c>
      <c r="G55" s="758"/>
      <c r="H55" s="765"/>
      <c r="I55" s="757" t="s">
        <v>554</v>
      </c>
      <c r="J55" s="766"/>
    </row>
    <row r="56" spans="2:10" ht="12" customHeight="1" x14ac:dyDescent="0.25">
      <c r="B56" s="767"/>
      <c r="C56" s="768"/>
      <c r="D56" s="753"/>
      <c r="E56" s="768"/>
      <c r="F56" s="753"/>
      <c r="G56" s="754"/>
      <c r="H56" s="768"/>
      <c r="I56" s="753"/>
      <c r="J56" s="755"/>
    </row>
    <row r="57" spans="2:10" ht="3" customHeight="1" x14ac:dyDescent="0.25">
      <c r="B57" s="751"/>
      <c r="C57" s="752"/>
      <c r="D57" s="752"/>
      <c r="E57" s="752"/>
      <c r="F57" s="752"/>
      <c r="G57" s="752"/>
      <c r="H57" s="752"/>
      <c r="I57" s="752"/>
      <c r="J57" s="760"/>
    </row>
    <row r="58" spans="2:10" ht="12" customHeight="1" x14ac:dyDescent="0.25">
      <c r="B58" s="761" t="s">
        <v>559</v>
      </c>
      <c r="C58" s="762"/>
      <c r="D58" s="762"/>
      <c r="E58" s="762"/>
      <c r="F58" s="762"/>
      <c r="G58" s="762"/>
      <c r="H58" s="762"/>
      <c r="I58" s="762"/>
      <c r="J58" s="763"/>
    </row>
    <row r="59" spans="2:10" ht="12" customHeight="1" x14ac:dyDescent="0.25">
      <c r="B59" s="775" t="s">
        <v>560</v>
      </c>
      <c r="C59" s="776"/>
      <c r="D59" s="776"/>
      <c r="E59" s="776"/>
      <c r="F59" s="776"/>
      <c r="G59" s="776"/>
      <c r="H59" s="776"/>
      <c r="I59" s="776"/>
      <c r="J59" s="777"/>
    </row>
    <row r="60" spans="2:10" ht="12" customHeight="1" x14ac:dyDescent="0.25">
      <c r="B60" s="778"/>
      <c r="C60" s="779"/>
      <c r="D60" s="779"/>
      <c r="E60" s="779"/>
      <c r="F60" s="779"/>
      <c r="G60" s="779"/>
      <c r="H60" s="779"/>
      <c r="I60" s="779"/>
      <c r="J60" s="780"/>
    </row>
    <row r="61" spans="2:10" ht="12" customHeight="1" x14ac:dyDescent="0.25">
      <c r="B61" s="781"/>
      <c r="C61" s="782"/>
      <c r="D61" s="782"/>
      <c r="E61" s="782"/>
      <c r="F61" s="782"/>
      <c r="G61" s="782"/>
      <c r="H61" s="782"/>
      <c r="I61" s="782"/>
      <c r="J61" s="783"/>
    </row>
    <row r="62" spans="2:10" ht="12" customHeight="1" x14ac:dyDescent="0.25">
      <c r="B62" s="751" t="s">
        <v>561</v>
      </c>
      <c r="C62" s="752"/>
      <c r="D62" s="752"/>
      <c r="E62" s="784"/>
      <c r="F62" s="785" t="s">
        <v>557</v>
      </c>
      <c r="G62" s="752"/>
      <c r="H62" s="784"/>
      <c r="I62" s="785" t="s">
        <v>554</v>
      </c>
      <c r="J62" s="760"/>
    </row>
    <row r="63" spans="2:10" ht="12" customHeight="1" x14ac:dyDescent="0.25">
      <c r="B63" s="767"/>
      <c r="C63" s="754"/>
      <c r="D63" s="754"/>
      <c r="E63" s="768"/>
      <c r="F63" s="753"/>
      <c r="G63" s="754"/>
      <c r="H63" s="768"/>
      <c r="I63" s="753"/>
      <c r="J63" s="755"/>
    </row>
    <row r="64" spans="2:10" ht="3" customHeight="1" x14ac:dyDescent="0.25">
      <c r="B64" s="764"/>
      <c r="C64" s="758"/>
      <c r="D64" s="758"/>
      <c r="E64" s="758"/>
      <c r="F64" s="758"/>
      <c r="G64" s="758"/>
      <c r="H64" s="758"/>
      <c r="I64" s="758"/>
      <c r="J64" s="766"/>
    </row>
    <row r="65" spans="2:10" ht="12" customHeight="1" x14ac:dyDescent="0.25">
      <c r="B65" s="1158" t="s">
        <v>562</v>
      </c>
      <c r="C65" s="1159"/>
      <c r="D65" s="1159"/>
      <c r="E65" s="1159"/>
      <c r="F65" s="1159"/>
      <c r="G65" s="1160"/>
      <c r="H65" s="1160"/>
      <c r="I65" s="1159"/>
      <c r="J65" s="1161"/>
    </row>
    <row r="66" spans="2:10" ht="12" customHeight="1" x14ac:dyDescent="0.25">
      <c r="B66" s="786" t="s">
        <v>563</v>
      </c>
      <c r="C66" s="787"/>
      <c r="D66" s="788"/>
      <c r="E66" s="789"/>
      <c r="F66" s="789"/>
      <c r="G66" s="790" t="s">
        <v>564</v>
      </c>
      <c r="H66" s="791"/>
      <c r="I66" s="792" t="s">
        <v>554</v>
      </c>
      <c r="J66" s="793"/>
    </row>
    <row r="67" spans="2:10" ht="12" customHeight="1" x14ac:dyDescent="0.25">
      <c r="B67" s="786" t="s">
        <v>565</v>
      </c>
      <c r="C67" s="789"/>
      <c r="D67" s="754"/>
      <c r="E67" s="754"/>
      <c r="F67" s="754"/>
      <c r="G67" s="753" t="s">
        <v>566</v>
      </c>
      <c r="H67" s="754"/>
      <c r="I67" s="790" t="s">
        <v>554</v>
      </c>
      <c r="J67" s="793"/>
    </row>
    <row r="68" spans="2:10" ht="12" customHeight="1" x14ac:dyDescent="0.25">
      <c r="B68" s="786" t="s">
        <v>567</v>
      </c>
      <c r="C68" s="789"/>
      <c r="D68" s="789"/>
      <c r="E68" s="789"/>
      <c r="F68" s="789"/>
      <c r="G68" s="788" t="s">
        <v>566</v>
      </c>
      <c r="H68" s="789"/>
      <c r="I68" s="790" t="s">
        <v>554</v>
      </c>
      <c r="J68" s="793"/>
    </row>
    <row r="69" spans="2:10" ht="3" customHeight="1" x14ac:dyDescent="0.25">
      <c r="B69" s="751"/>
      <c r="C69" s="752"/>
      <c r="D69" s="752"/>
      <c r="E69" s="752"/>
      <c r="F69" s="752"/>
      <c r="G69" s="752"/>
      <c r="H69" s="752"/>
      <c r="I69" s="752"/>
      <c r="J69" s="760"/>
    </row>
    <row r="70" spans="2:10" ht="12" customHeight="1" x14ac:dyDescent="0.25">
      <c r="B70" s="1158" t="s">
        <v>568</v>
      </c>
      <c r="C70" s="1159"/>
      <c r="D70" s="1159"/>
      <c r="E70" s="1159"/>
      <c r="F70" s="1159"/>
      <c r="G70" s="1159"/>
      <c r="H70" s="1159"/>
      <c r="I70" s="1159"/>
      <c r="J70" s="1161"/>
    </row>
    <row r="71" spans="2:10" ht="12" customHeight="1" x14ac:dyDescent="0.25">
      <c r="B71" s="786" t="s">
        <v>563</v>
      </c>
      <c r="C71" s="787"/>
      <c r="D71" s="788" t="s">
        <v>569</v>
      </c>
      <c r="E71" s="789"/>
      <c r="F71" s="789"/>
      <c r="G71" s="789"/>
      <c r="H71" s="787"/>
      <c r="I71" s="790" t="s">
        <v>554</v>
      </c>
      <c r="J71" s="793"/>
    </row>
    <row r="72" spans="2:10" ht="12" customHeight="1" x14ac:dyDescent="0.25">
      <c r="B72" s="786" t="s">
        <v>570</v>
      </c>
      <c r="C72" s="789"/>
      <c r="D72" s="754"/>
      <c r="E72" s="754"/>
      <c r="F72" s="754"/>
      <c r="G72" s="753" t="s">
        <v>566</v>
      </c>
      <c r="H72" s="754"/>
      <c r="I72" s="790" t="s">
        <v>554</v>
      </c>
      <c r="J72" s="793"/>
    </row>
    <row r="73" spans="2:10" ht="3" customHeight="1" x14ac:dyDescent="0.25">
      <c r="B73" s="751"/>
      <c r="C73" s="752"/>
      <c r="D73" s="752"/>
      <c r="E73" s="752"/>
      <c r="F73" s="752"/>
      <c r="G73" s="752"/>
      <c r="H73" s="752"/>
      <c r="I73" s="752"/>
      <c r="J73" s="760"/>
    </row>
    <row r="74" spans="2:10" ht="12" customHeight="1" x14ac:dyDescent="0.25">
      <c r="B74" s="1162" t="s">
        <v>571</v>
      </c>
      <c r="C74" s="1163"/>
      <c r="D74" s="1163"/>
      <c r="E74" s="1163"/>
      <c r="F74" s="1163"/>
      <c r="G74" s="1163"/>
      <c r="H74" s="1163"/>
      <c r="I74" s="1163"/>
      <c r="J74" s="1164"/>
    </row>
    <row r="75" spans="2:10" ht="12" customHeight="1" thickBot="1" x14ac:dyDescent="0.3">
      <c r="B75" s="1165" t="s">
        <v>572</v>
      </c>
      <c r="C75" s="1166"/>
      <c r="D75" s="1166"/>
      <c r="E75" s="1166"/>
      <c r="F75" s="1166"/>
      <c r="G75" s="1166"/>
      <c r="H75" s="1166"/>
      <c r="I75" s="1166"/>
      <c r="J75" s="1167"/>
    </row>
  </sheetData>
  <mergeCells count="4">
    <mergeCell ref="B65:J65"/>
    <mergeCell ref="B70:J70"/>
    <mergeCell ref="B74:J74"/>
    <mergeCell ref="B75:J75"/>
  </mergeCells>
  <pageMargins left="0.28000000000000003" right="0.25" top="0.28000000000000003" bottom="0.32" header="0.2" footer="0.2"/>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Q34"/>
  <sheetViews>
    <sheetView topLeftCell="A14" zoomScaleNormal="100" workbookViewId="0">
      <selection activeCell="A41" sqref="A1:J41"/>
    </sheetView>
  </sheetViews>
  <sheetFormatPr defaultColWidth="8.85546875" defaultRowHeight="12.75" x14ac:dyDescent="0.2"/>
  <cols>
    <col min="1" max="1" width="19.28515625" style="909" customWidth="1"/>
    <col min="2" max="2" width="19.85546875" style="909" customWidth="1"/>
    <col min="3" max="3" width="21.42578125" style="909" customWidth="1"/>
    <col min="4" max="16384" width="8.85546875" style="909"/>
  </cols>
  <sheetData>
    <row r="1" spans="1:17" s="888" customFormat="1" ht="18" x14ac:dyDescent="0.25">
      <c r="A1" s="887" t="s">
        <v>310</v>
      </c>
      <c r="C1" s="889"/>
    </row>
    <row r="2" spans="1:17" s="888" customFormat="1" ht="18" x14ac:dyDescent="0.25">
      <c r="A2" s="887"/>
      <c r="C2" s="889"/>
    </row>
    <row r="3" spans="1:17" s="888" customFormat="1" x14ac:dyDescent="0.2">
      <c r="A3" s="890" t="s">
        <v>311</v>
      </c>
      <c r="C3" s="889"/>
    </row>
    <row r="4" spans="1:17" s="888" customFormat="1" x14ac:dyDescent="0.2">
      <c r="A4" s="886" t="s">
        <v>760</v>
      </c>
      <c r="B4" s="907"/>
      <c r="C4" s="889"/>
    </row>
    <row r="5" spans="1:17" s="888" customFormat="1" x14ac:dyDescent="0.2">
      <c r="A5" s="886" t="s">
        <v>922</v>
      </c>
      <c r="B5" s="907"/>
      <c r="C5" s="889"/>
    </row>
    <row r="6" spans="1:17" s="888" customFormat="1" x14ac:dyDescent="0.2">
      <c r="A6" s="859" t="s">
        <v>915</v>
      </c>
      <c r="B6" s="883"/>
      <c r="C6" s="889"/>
      <c r="H6" s="890"/>
      <c r="K6" s="890"/>
    </row>
    <row r="9" spans="1:17" s="890" customFormat="1" x14ac:dyDescent="0.2">
      <c r="A9" s="891" t="s">
        <v>313</v>
      </c>
      <c r="B9" s="892"/>
      <c r="C9" s="893"/>
      <c r="D9" s="894"/>
      <c r="E9" s="894"/>
      <c r="F9" s="895"/>
      <c r="G9" s="895"/>
      <c r="H9" s="895"/>
      <c r="I9" s="895"/>
      <c r="J9" s="908"/>
      <c r="K9" s="908"/>
      <c r="L9" s="908"/>
      <c r="M9" s="908"/>
      <c r="N9" s="908"/>
      <c r="O9" s="908"/>
      <c r="P9" s="908"/>
      <c r="Q9" s="908"/>
    </row>
    <row r="10" spans="1:17" s="890" customFormat="1" ht="5.25" customHeight="1" x14ac:dyDescent="0.2">
      <c r="A10" s="891"/>
      <c r="B10" s="892"/>
      <c r="C10" s="893"/>
      <c r="D10" s="894"/>
      <c r="E10" s="894"/>
      <c r="F10" s="895"/>
      <c r="G10" s="895"/>
      <c r="H10" s="895"/>
      <c r="I10" s="895"/>
      <c r="J10" s="908"/>
      <c r="K10" s="908"/>
      <c r="L10" s="908"/>
      <c r="M10" s="908"/>
      <c r="N10" s="908"/>
      <c r="O10" s="908"/>
      <c r="P10" s="908"/>
      <c r="Q10" s="908"/>
    </row>
    <row r="11" spans="1:17" s="888" customFormat="1" x14ac:dyDescent="0.2">
      <c r="A11" s="896"/>
      <c r="B11" s="897" t="s">
        <v>314</v>
      </c>
      <c r="C11" s="898" t="s">
        <v>315</v>
      </c>
      <c r="D11" s="884"/>
      <c r="E11" s="884"/>
      <c r="F11" s="885"/>
      <c r="G11" s="885"/>
      <c r="H11" s="885"/>
      <c r="I11" s="885"/>
      <c r="J11" s="909"/>
      <c r="K11" s="909"/>
      <c r="L11" s="909"/>
      <c r="M11" s="909"/>
      <c r="N11" s="909"/>
      <c r="O11" s="909"/>
      <c r="P11" s="909"/>
      <c r="Q11" s="909"/>
    </row>
    <row r="12" spans="1:17" s="888" customFormat="1" x14ac:dyDescent="0.2">
      <c r="A12" s="896" t="s">
        <v>316</v>
      </c>
      <c r="B12" s="899">
        <v>0</v>
      </c>
      <c r="C12" s="899">
        <v>0</v>
      </c>
      <c r="D12" s="884"/>
      <c r="E12" s="884"/>
      <c r="F12" s="885"/>
      <c r="G12" s="885"/>
      <c r="H12" s="885"/>
      <c r="I12" s="885"/>
      <c r="J12" s="909"/>
      <c r="K12" s="909"/>
      <c r="L12" s="909"/>
      <c r="M12" s="909"/>
      <c r="N12" s="909"/>
      <c r="O12" s="909"/>
      <c r="P12" s="909"/>
      <c r="Q12" s="909"/>
    </row>
    <row r="13" spans="1:17" s="888" customFormat="1" x14ac:dyDescent="0.2">
      <c r="A13" s="896" t="s">
        <v>317</v>
      </c>
      <c r="B13" s="899">
        <f>SUM('[11]Prop J Main Template'!F24:F27)</f>
        <v>0</v>
      </c>
      <c r="C13" s="899">
        <f>SUM('[12]Prop J - Main'!G36:G39)</f>
        <v>0</v>
      </c>
      <c r="D13" s="884"/>
      <c r="E13" s="884"/>
      <c r="F13" s="885"/>
      <c r="G13" s="885"/>
      <c r="H13" s="885"/>
      <c r="I13" s="885"/>
      <c r="J13" s="909"/>
      <c r="K13" s="909"/>
      <c r="L13" s="909"/>
      <c r="M13" s="909"/>
      <c r="N13" s="909"/>
      <c r="O13" s="909"/>
      <c r="P13" s="909"/>
      <c r="Q13" s="909"/>
    </row>
    <row r="14" spans="1:17" s="888" customFormat="1" x14ac:dyDescent="0.2">
      <c r="A14" s="896" t="s">
        <v>318</v>
      </c>
      <c r="B14" s="899">
        <v>0</v>
      </c>
      <c r="C14" s="899">
        <v>0</v>
      </c>
      <c r="D14" s="884"/>
      <c r="E14" s="884"/>
      <c r="F14" s="885"/>
      <c r="G14" s="885"/>
      <c r="H14" s="885"/>
      <c r="I14" s="885"/>
      <c r="J14" s="909"/>
      <c r="K14" s="909"/>
      <c r="L14" s="909"/>
      <c r="M14" s="909"/>
      <c r="N14" s="909"/>
      <c r="O14" s="909"/>
      <c r="P14" s="909"/>
      <c r="Q14" s="909"/>
    </row>
    <row r="15" spans="1:17" s="888" customFormat="1" ht="13.5" thickBot="1" x14ac:dyDescent="0.25">
      <c r="A15" s="896" t="s">
        <v>319</v>
      </c>
      <c r="B15" s="900">
        <f>'[11]Prop J Main Template'!$F$40</f>
        <v>0</v>
      </c>
      <c r="C15" s="900">
        <f>'[12]Prop J - Main'!G52</f>
        <v>0</v>
      </c>
      <c r="D15" s="884"/>
      <c r="E15" s="884"/>
      <c r="F15" s="885"/>
      <c r="G15" s="885"/>
      <c r="H15" s="885"/>
      <c r="I15" s="885"/>
      <c r="J15" s="909"/>
      <c r="K15" s="909"/>
      <c r="L15" s="909"/>
      <c r="M15" s="909"/>
      <c r="N15" s="909"/>
      <c r="O15" s="909"/>
      <c r="P15" s="909"/>
      <c r="Q15" s="909"/>
    </row>
    <row r="16" spans="1:17" ht="13.5" thickTop="1" x14ac:dyDescent="0.2">
      <c r="B16" s="460">
        <f>SUM(B12:B15)</f>
        <v>0</v>
      </c>
      <c r="C16" s="460">
        <f>SUM(C12:C15)</f>
        <v>0</v>
      </c>
    </row>
    <row r="18" spans="1:3" s="908" customFormat="1" x14ac:dyDescent="0.2">
      <c r="A18" s="891" t="s">
        <v>320</v>
      </c>
    </row>
    <row r="19" spans="1:3" x14ac:dyDescent="0.2">
      <c r="B19" s="897"/>
      <c r="C19" s="898"/>
    </row>
    <row r="20" spans="1:3" x14ac:dyDescent="0.2">
      <c r="A20" s="909" t="s">
        <v>321</v>
      </c>
      <c r="B20" s="461">
        <f>'[11]Prop J Cost Detail'!F5</f>
        <v>0</v>
      </c>
      <c r="C20" s="461">
        <f>'[11]Prop J Cost Detail'!G5</f>
        <v>0</v>
      </c>
    </row>
    <row r="21" spans="1:3" ht="13.5" thickBot="1" x14ac:dyDescent="0.25">
      <c r="A21" s="909" t="s">
        <v>322</v>
      </c>
      <c r="B21" s="900">
        <v>0</v>
      </c>
      <c r="C21" s="900">
        <v>0</v>
      </c>
    </row>
    <row r="22" spans="1:3" ht="13.5" thickTop="1" x14ac:dyDescent="0.2">
      <c r="B22" s="460">
        <f>SUM(B20:B21)</f>
        <v>0</v>
      </c>
      <c r="C22" s="460">
        <f>SUM(C20:C21)</f>
        <v>0</v>
      </c>
    </row>
    <row r="24" spans="1:3" ht="13.5" thickBot="1" x14ac:dyDescent="0.25"/>
    <row r="25" spans="1:3" ht="39" thickBot="1" x14ac:dyDescent="0.25">
      <c r="A25" s="910" t="s">
        <v>323</v>
      </c>
      <c r="B25" s="462">
        <f>B16+B22</f>
        <v>0</v>
      </c>
      <c r="C25" s="463">
        <f>C16+C22</f>
        <v>0</v>
      </c>
    </row>
    <row r="28" spans="1:3" x14ac:dyDescent="0.2">
      <c r="A28" s="911" t="s">
        <v>324</v>
      </c>
    </row>
    <row r="29" spans="1:3" x14ac:dyDescent="0.2">
      <c r="A29" s="912" t="s">
        <v>925</v>
      </c>
    </row>
    <row r="30" spans="1:3" x14ac:dyDescent="0.2">
      <c r="A30" s="912" t="s">
        <v>926</v>
      </c>
    </row>
    <row r="32" spans="1:3" x14ac:dyDescent="0.2">
      <c r="A32" s="909" t="s">
        <v>327</v>
      </c>
    </row>
    <row r="33" spans="1:1" x14ac:dyDescent="0.2">
      <c r="A33" s="912" t="s">
        <v>325</v>
      </c>
    </row>
    <row r="34" spans="1:1" x14ac:dyDescent="0.2">
      <c r="A34" s="912" t="s">
        <v>326</v>
      </c>
    </row>
  </sheetData>
  <pageMargins left="0.26" right="0.7" top="0.44" bottom="0.75" header="0.3" footer="0.3"/>
  <pageSetup orientation="landscape"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P58"/>
  <sheetViews>
    <sheetView zoomScaleNormal="100" workbookViewId="0">
      <selection activeCell="A27" sqref="A27:XFD27"/>
    </sheetView>
  </sheetViews>
  <sheetFormatPr defaultColWidth="7.42578125" defaultRowHeight="12.75" x14ac:dyDescent="0.2"/>
  <cols>
    <col min="1" max="1" width="34.42578125" style="468" customWidth="1"/>
    <col min="2" max="2" width="10.28515625" style="468" customWidth="1"/>
    <col min="3" max="3" width="12.42578125" style="470" bestFit="1" customWidth="1"/>
    <col min="4" max="4" width="8.7109375" style="468" customWidth="1"/>
    <col min="5" max="5" width="7.7109375" style="468" bestFit="1" customWidth="1"/>
    <col min="6" max="7" width="12.7109375" style="468" customWidth="1"/>
    <col min="8" max="8" width="5.42578125" style="468" customWidth="1"/>
    <col min="9" max="9" width="10.28515625" style="468" customWidth="1"/>
    <col min="10" max="10" width="7.42578125" style="468"/>
    <col min="11" max="11" width="7.85546875" style="468" customWidth="1"/>
    <col min="12" max="12" width="8.42578125" style="468" customWidth="1"/>
    <col min="13" max="13" width="10.7109375" style="468" bestFit="1" customWidth="1"/>
    <col min="14" max="14" width="11.42578125" style="468" customWidth="1"/>
    <col min="15" max="15" width="9.42578125" style="468" customWidth="1"/>
    <col min="16" max="16" width="9.7109375" style="468" hidden="1" customWidth="1"/>
    <col min="17" max="16384" width="7.42578125" style="468"/>
  </cols>
  <sheetData>
    <row r="1" spans="1:16" s="467" customFormat="1" ht="18" x14ac:dyDescent="0.25">
      <c r="A1" s="464" t="s">
        <v>310</v>
      </c>
      <c r="B1" s="465"/>
      <c r="C1" s="466"/>
    </row>
    <row r="2" spans="1:16" ht="10.5" customHeight="1" x14ac:dyDescent="0.25">
      <c r="B2" s="469"/>
      <c r="I2" s="467"/>
      <c r="J2" s="467"/>
      <c r="K2" s="467"/>
      <c r="L2" s="467"/>
    </row>
    <row r="3" spans="1:16" x14ac:dyDescent="0.2">
      <c r="A3" s="863" t="s">
        <v>760</v>
      </c>
      <c r="B3" s="469"/>
      <c r="I3" s="1171" t="s">
        <v>328</v>
      </c>
      <c r="J3" s="1171"/>
      <c r="K3" s="1171"/>
      <c r="L3" s="1171"/>
      <c r="M3" s="1171"/>
    </row>
    <row r="4" spans="1:16" x14ac:dyDescent="0.2">
      <c r="A4" s="863" t="s">
        <v>922</v>
      </c>
      <c r="B4" s="469"/>
      <c r="I4" s="1171"/>
      <c r="J4" s="1171"/>
      <c r="K4" s="1171"/>
      <c r="L4" s="1171"/>
      <c r="M4" s="1171"/>
    </row>
    <row r="5" spans="1:16" x14ac:dyDescent="0.2">
      <c r="A5" s="469" t="s">
        <v>329</v>
      </c>
      <c r="B5" s="469"/>
      <c r="I5" s="1171"/>
      <c r="J5" s="1171"/>
      <c r="K5" s="1171"/>
      <c r="L5" s="1171"/>
      <c r="M5" s="1171"/>
    </row>
    <row r="6" spans="1:16" s="860" customFormat="1" x14ac:dyDescent="0.2">
      <c r="A6" s="859" t="s">
        <v>915</v>
      </c>
      <c r="B6" s="862"/>
      <c r="C6" s="861"/>
    </row>
    <row r="7" spans="1:16" ht="17.25" customHeight="1" x14ac:dyDescent="0.25">
      <c r="A7" s="472"/>
      <c r="B7" s="469"/>
      <c r="I7" s="473" t="s">
        <v>330</v>
      </c>
    </row>
    <row r="8" spans="1:16" x14ac:dyDescent="0.2">
      <c r="A8" s="474" t="s">
        <v>331</v>
      </c>
      <c r="B8" s="469"/>
      <c r="H8" s="475"/>
    </row>
    <row r="9" spans="1:16" x14ac:dyDescent="0.2">
      <c r="A9" s="474"/>
      <c r="B9" s="469"/>
      <c r="I9" s="474" t="s">
        <v>332</v>
      </c>
      <c r="K9" s="476"/>
    </row>
    <row r="10" spans="1:16" x14ac:dyDescent="0.2">
      <c r="A10" s="477" t="s">
        <v>333</v>
      </c>
      <c r="J10" s="474"/>
    </row>
    <row r="11" spans="1:16" ht="40.5" customHeight="1" x14ac:dyDescent="0.2">
      <c r="A11" s="478" t="s">
        <v>334</v>
      </c>
      <c r="B11" s="479" t="s">
        <v>335</v>
      </c>
      <c r="C11" s="480" t="s">
        <v>336</v>
      </c>
      <c r="D11" s="481" t="s">
        <v>337</v>
      </c>
      <c r="E11" s="481"/>
      <c r="F11" s="482" t="s">
        <v>338</v>
      </c>
      <c r="G11" s="483" t="s">
        <v>339</v>
      </c>
      <c r="H11" s="484"/>
      <c r="I11" s="485" t="s">
        <v>340</v>
      </c>
      <c r="J11" s="486" t="s">
        <v>341</v>
      </c>
      <c r="K11" s="487" t="s">
        <v>342</v>
      </c>
      <c r="L11" s="487" t="s">
        <v>343</v>
      </c>
      <c r="M11" s="487" t="s">
        <v>344</v>
      </c>
      <c r="N11" s="487" t="s">
        <v>345</v>
      </c>
      <c r="O11" s="488" t="s">
        <v>342</v>
      </c>
    </row>
    <row r="12" spans="1:16" x14ac:dyDescent="0.2">
      <c r="A12" s="866" t="s">
        <v>916</v>
      </c>
      <c r="B12" s="865" t="s">
        <v>917</v>
      </c>
      <c r="C12" s="489">
        <v>30</v>
      </c>
      <c r="D12" s="490">
        <v>1520</v>
      </c>
      <c r="E12" s="490">
        <v>1844</v>
      </c>
      <c r="F12" s="491">
        <f t="shared" ref="F12:F22" si="0">C12*D12*26.1</f>
        <v>1190160</v>
      </c>
      <c r="G12" s="492">
        <f t="shared" ref="G12:G22" si="1">C12*E12*26.1</f>
        <v>1443852</v>
      </c>
      <c r="H12" s="493"/>
      <c r="I12" s="494"/>
      <c r="J12" s="495"/>
      <c r="K12" s="496"/>
      <c r="L12" s="497"/>
      <c r="M12" s="496">
        <f t="shared" ref="M12:M22" si="2">F12*L12</f>
        <v>0</v>
      </c>
      <c r="N12" s="496">
        <f t="shared" ref="N12:N22" si="3">G12*L12</f>
        <v>0</v>
      </c>
      <c r="O12" s="498">
        <f t="shared" ref="O12:O22" si="4">C12*K12</f>
        <v>0</v>
      </c>
      <c r="P12" s="499" t="s">
        <v>346</v>
      </c>
    </row>
    <row r="13" spans="1:16" x14ac:dyDescent="0.2">
      <c r="A13" s="500" t="s">
        <v>918</v>
      </c>
      <c r="B13" s="501" t="s">
        <v>920</v>
      </c>
      <c r="C13" s="502">
        <v>0.2</v>
      </c>
      <c r="D13" s="864">
        <v>2596</v>
      </c>
      <c r="E13" s="864">
        <v>3155</v>
      </c>
      <c r="F13" s="504">
        <f t="shared" si="0"/>
        <v>13551.120000000003</v>
      </c>
      <c r="G13" s="505">
        <f t="shared" si="1"/>
        <v>16469.100000000002</v>
      </c>
      <c r="H13" s="459"/>
      <c r="I13" s="506"/>
      <c r="J13" s="495"/>
      <c r="K13" s="496"/>
      <c r="L13" s="497"/>
      <c r="M13" s="496">
        <f t="shared" si="2"/>
        <v>0</v>
      </c>
      <c r="N13" s="496">
        <f t="shared" si="3"/>
        <v>0</v>
      </c>
      <c r="O13" s="498">
        <f t="shared" si="4"/>
        <v>0</v>
      </c>
      <c r="P13" s="499" t="s">
        <v>85</v>
      </c>
    </row>
    <row r="14" spans="1:16" x14ac:dyDescent="0.2">
      <c r="A14" s="500" t="s">
        <v>919</v>
      </c>
      <c r="B14" s="501" t="s">
        <v>921</v>
      </c>
      <c r="C14" s="502">
        <v>0.2</v>
      </c>
      <c r="D14" s="864">
        <v>2166</v>
      </c>
      <c r="E14" s="864">
        <v>2632</v>
      </c>
      <c r="F14" s="504">
        <f t="shared" si="0"/>
        <v>11306.520000000002</v>
      </c>
      <c r="G14" s="505">
        <f t="shared" si="1"/>
        <v>13739.04</v>
      </c>
      <c r="H14" s="459"/>
      <c r="I14" s="506"/>
      <c r="J14" s="495"/>
      <c r="K14" s="496"/>
      <c r="L14" s="497"/>
      <c r="M14" s="496">
        <f t="shared" si="2"/>
        <v>0</v>
      </c>
      <c r="N14" s="496">
        <f t="shared" si="3"/>
        <v>0</v>
      </c>
      <c r="O14" s="498">
        <f t="shared" si="4"/>
        <v>0</v>
      </c>
      <c r="P14" s="499" t="s">
        <v>347</v>
      </c>
    </row>
    <row r="15" spans="1:16" x14ac:dyDescent="0.2">
      <c r="A15" s="500"/>
      <c r="B15" s="501"/>
      <c r="C15" s="502"/>
      <c r="D15" s="503"/>
      <c r="E15" s="864"/>
      <c r="F15" s="504">
        <f t="shared" si="0"/>
        <v>0</v>
      </c>
      <c r="G15" s="505">
        <f t="shared" si="1"/>
        <v>0</v>
      </c>
      <c r="H15" s="459"/>
      <c r="I15" s="506"/>
      <c r="J15" s="495"/>
      <c r="K15" s="496"/>
      <c r="L15" s="497"/>
      <c r="M15" s="496">
        <f t="shared" si="2"/>
        <v>0</v>
      </c>
      <c r="N15" s="496">
        <f t="shared" si="3"/>
        <v>0</v>
      </c>
      <c r="O15" s="498">
        <f t="shared" si="4"/>
        <v>0</v>
      </c>
      <c r="P15" s="499" t="s">
        <v>348</v>
      </c>
    </row>
    <row r="16" spans="1:16" x14ac:dyDescent="0.2">
      <c r="A16" s="500"/>
      <c r="B16" s="501"/>
      <c r="C16" s="502"/>
      <c r="D16" s="503"/>
      <c r="E16" s="503"/>
      <c r="F16" s="504">
        <f t="shared" si="0"/>
        <v>0</v>
      </c>
      <c r="G16" s="505">
        <f t="shared" si="1"/>
        <v>0</v>
      </c>
      <c r="H16" s="459"/>
      <c r="I16" s="506"/>
      <c r="J16" s="495"/>
      <c r="K16" s="496"/>
      <c r="L16" s="497"/>
      <c r="M16" s="496">
        <f t="shared" si="2"/>
        <v>0</v>
      </c>
      <c r="N16" s="496">
        <f t="shared" si="3"/>
        <v>0</v>
      </c>
      <c r="O16" s="498">
        <f t="shared" si="4"/>
        <v>0</v>
      </c>
      <c r="P16" s="499"/>
    </row>
    <row r="17" spans="1:16" x14ac:dyDescent="0.2">
      <c r="A17" s="500"/>
      <c r="B17" s="507"/>
      <c r="C17" s="502"/>
      <c r="D17" s="503"/>
      <c r="E17" s="503"/>
      <c r="F17" s="504">
        <f t="shared" si="0"/>
        <v>0</v>
      </c>
      <c r="G17" s="505">
        <f t="shared" si="1"/>
        <v>0</v>
      </c>
      <c r="H17" s="459"/>
      <c r="I17" s="506"/>
      <c r="J17" s="495"/>
      <c r="K17" s="496"/>
      <c r="L17" s="497"/>
      <c r="M17" s="496">
        <f t="shared" si="2"/>
        <v>0</v>
      </c>
      <c r="N17" s="496">
        <f t="shared" si="3"/>
        <v>0</v>
      </c>
      <c r="O17" s="498">
        <f t="shared" si="4"/>
        <v>0</v>
      </c>
      <c r="P17" s="499"/>
    </row>
    <row r="18" spans="1:16" x14ac:dyDescent="0.2">
      <c r="A18" s="500"/>
      <c r="B18" s="501"/>
      <c r="C18" s="502"/>
      <c r="D18" s="503"/>
      <c r="E18" s="503"/>
      <c r="F18" s="504">
        <f t="shared" si="0"/>
        <v>0</v>
      </c>
      <c r="G18" s="505">
        <f t="shared" si="1"/>
        <v>0</v>
      </c>
      <c r="H18" s="459"/>
      <c r="I18" s="506"/>
      <c r="J18" s="495"/>
      <c r="K18" s="496"/>
      <c r="L18" s="497"/>
      <c r="M18" s="496">
        <f t="shared" si="2"/>
        <v>0</v>
      </c>
      <c r="N18" s="496">
        <f t="shared" si="3"/>
        <v>0</v>
      </c>
      <c r="O18" s="498">
        <f t="shared" si="4"/>
        <v>0</v>
      </c>
      <c r="P18" s="499"/>
    </row>
    <row r="19" spans="1:16" x14ac:dyDescent="0.2">
      <c r="A19" s="500"/>
      <c r="B19" s="501"/>
      <c r="C19" s="502"/>
      <c r="D19" s="503"/>
      <c r="E19" s="503"/>
      <c r="F19" s="504">
        <f t="shared" si="0"/>
        <v>0</v>
      </c>
      <c r="G19" s="505">
        <f t="shared" si="1"/>
        <v>0</v>
      </c>
      <c r="H19" s="459"/>
      <c r="I19" s="506"/>
      <c r="J19" s="495"/>
      <c r="K19" s="496"/>
      <c r="L19" s="497"/>
      <c r="M19" s="496">
        <f t="shared" si="2"/>
        <v>0</v>
      </c>
      <c r="N19" s="496">
        <f t="shared" si="3"/>
        <v>0</v>
      </c>
      <c r="O19" s="498">
        <f t="shared" si="4"/>
        <v>0</v>
      </c>
      <c r="P19" s="499"/>
    </row>
    <row r="20" spans="1:16" ht="13.5" customHeight="1" x14ac:dyDescent="0.2">
      <c r="A20" s="500"/>
      <c r="B20" s="501"/>
      <c r="C20" s="502"/>
      <c r="D20" s="503"/>
      <c r="E20" s="503"/>
      <c r="F20" s="504">
        <f t="shared" si="0"/>
        <v>0</v>
      </c>
      <c r="G20" s="505">
        <f t="shared" si="1"/>
        <v>0</v>
      </c>
      <c r="H20" s="459"/>
      <c r="I20" s="506"/>
      <c r="J20" s="495"/>
      <c r="K20" s="496"/>
      <c r="L20" s="497"/>
      <c r="M20" s="496">
        <f t="shared" si="2"/>
        <v>0</v>
      </c>
      <c r="N20" s="496">
        <f t="shared" si="3"/>
        <v>0</v>
      </c>
      <c r="O20" s="498">
        <f t="shared" si="4"/>
        <v>0</v>
      </c>
    </row>
    <row r="21" spans="1:16" ht="13.5" customHeight="1" x14ac:dyDescent="0.2">
      <c r="A21" s="500"/>
      <c r="B21" s="501"/>
      <c r="C21" s="502"/>
      <c r="D21" s="503"/>
      <c r="E21" s="503"/>
      <c r="F21" s="504">
        <f t="shared" si="0"/>
        <v>0</v>
      </c>
      <c r="G21" s="505">
        <f t="shared" si="1"/>
        <v>0</v>
      </c>
      <c r="H21" s="459"/>
      <c r="I21" s="506"/>
      <c r="J21" s="495"/>
      <c r="K21" s="496"/>
      <c r="L21" s="497"/>
      <c r="M21" s="496">
        <f t="shared" si="2"/>
        <v>0</v>
      </c>
      <c r="N21" s="496">
        <f t="shared" si="3"/>
        <v>0</v>
      </c>
      <c r="O21" s="498">
        <f t="shared" si="4"/>
        <v>0</v>
      </c>
    </row>
    <row r="22" spans="1:16" x14ac:dyDescent="0.2">
      <c r="A22" s="500"/>
      <c r="B22" s="501"/>
      <c r="C22" s="502"/>
      <c r="D22" s="503"/>
      <c r="E22" s="503"/>
      <c r="F22" s="504">
        <f t="shared" si="0"/>
        <v>0</v>
      </c>
      <c r="G22" s="505">
        <f t="shared" si="1"/>
        <v>0</v>
      </c>
      <c r="H22" s="459"/>
      <c r="I22" s="506"/>
      <c r="J22" s="495"/>
      <c r="K22" s="496"/>
      <c r="L22" s="497"/>
      <c r="M22" s="496">
        <f t="shared" si="2"/>
        <v>0</v>
      </c>
      <c r="N22" s="496">
        <f t="shared" si="3"/>
        <v>0</v>
      </c>
      <c r="O22" s="498">
        <f t="shared" si="4"/>
        <v>0</v>
      </c>
    </row>
    <row r="23" spans="1:16" ht="6" customHeight="1" x14ac:dyDescent="0.2">
      <c r="A23" s="508"/>
      <c r="B23" s="509"/>
      <c r="C23" s="510"/>
      <c r="D23" s="511"/>
      <c r="E23" s="511"/>
      <c r="F23" s="504"/>
      <c r="G23" s="505"/>
      <c r="H23" s="459"/>
      <c r="I23" s="512"/>
      <c r="J23" s="513"/>
      <c r="K23" s="496"/>
      <c r="L23" s="497"/>
      <c r="M23" s="496"/>
      <c r="N23" s="496"/>
      <c r="O23" s="498"/>
    </row>
    <row r="24" spans="1:16" x14ac:dyDescent="0.2">
      <c r="A24" s="500" t="s">
        <v>349</v>
      </c>
      <c r="B24" s="514"/>
      <c r="C24" s="515"/>
      <c r="D24" s="503"/>
      <c r="E24" s="503"/>
      <c r="F24" s="516">
        <f>SUM(F12:F22)/260*11*1.5*0.5</f>
        <v>38553.444346153854</v>
      </c>
      <c r="G24" s="517">
        <f>SUM(G12:G22)/260*11*1.5*0.5</f>
        <v>46773.062134615393</v>
      </c>
      <c r="H24" s="459"/>
      <c r="I24" s="518" t="s">
        <v>350</v>
      </c>
      <c r="J24" s="513"/>
      <c r="K24" s="519" t="s">
        <v>350</v>
      </c>
      <c r="L24" s="497"/>
      <c r="M24" s="496">
        <f>F24*L24</f>
        <v>0</v>
      </c>
      <c r="N24" s="496">
        <f>G24*L24</f>
        <v>0</v>
      </c>
      <c r="O24" s="520" t="s">
        <v>350</v>
      </c>
    </row>
    <row r="25" spans="1:16" x14ac:dyDescent="0.2">
      <c r="A25" s="500" t="s">
        <v>351</v>
      </c>
      <c r="B25" s="514"/>
      <c r="C25" s="515"/>
      <c r="D25" s="503"/>
      <c r="E25" s="503"/>
      <c r="F25" s="516">
        <f>SUM(F13:F22)*0.085*0.333</f>
        <v>703.59550020000029</v>
      </c>
      <c r="G25" s="517">
        <f>SUM(G13:G22)*0.085*0.333</f>
        <v>855.04140270000016</v>
      </c>
      <c r="H25" s="459"/>
      <c r="I25" s="518" t="s">
        <v>350</v>
      </c>
      <c r="J25" s="513"/>
      <c r="K25" s="519" t="s">
        <v>350</v>
      </c>
      <c r="L25" s="497"/>
      <c r="M25" s="496">
        <f>F25*L25</f>
        <v>0</v>
      </c>
      <c r="N25" s="496">
        <f>G25*L25</f>
        <v>0</v>
      </c>
      <c r="O25" s="521" t="s">
        <v>350</v>
      </c>
    </row>
    <row r="26" spans="1:16" x14ac:dyDescent="0.2">
      <c r="A26" s="500" t="s">
        <v>352</v>
      </c>
      <c r="B26" s="514"/>
      <c r="C26" s="515"/>
      <c r="D26" s="503"/>
      <c r="E26" s="503"/>
      <c r="F26" s="516">
        <v>0</v>
      </c>
      <c r="G26" s="517">
        <v>0</v>
      </c>
      <c r="H26" s="459"/>
      <c r="I26" s="518" t="s">
        <v>350</v>
      </c>
      <c r="J26" s="513"/>
      <c r="K26" s="519" t="s">
        <v>350</v>
      </c>
      <c r="L26" s="497"/>
      <c r="M26" s="496">
        <f>F26*L26</f>
        <v>0</v>
      </c>
      <c r="N26" s="496">
        <f>G26*L26</f>
        <v>0</v>
      </c>
      <c r="O26" s="521" t="s">
        <v>350</v>
      </c>
    </row>
    <row r="27" spans="1:16" x14ac:dyDescent="0.2">
      <c r="A27" s="500" t="s">
        <v>353</v>
      </c>
      <c r="B27" s="514"/>
      <c r="C27" s="515"/>
      <c r="D27" s="503"/>
      <c r="E27" s="503"/>
      <c r="F27" s="516">
        <v>0</v>
      </c>
      <c r="G27" s="517">
        <v>0</v>
      </c>
      <c r="H27" s="459"/>
      <c r="I27" s="522"/>
      <c r="J27" s="523"/>
      <c r="K27" s="524"/>
      <c r="L27" s="525"/>
      <c r="M27" s="496"/>
      <c r="N27" s="496"/>
      <c r="O27" s="521"/>
    </row>
    <row r="28" spans="1:16" ht="12.75" customHeight="1" x14ac:dyDescent="0.2">
      <c r="A28" s="526" t="s">
        <v>354</v>
      </c>
      <c r="B28" s="527"/>
      <c r="C28" s="528">
        <f>SUM(C12:C22)</f>
        <v>30.4</v>
      </c>
      <c r="D28" s="529" t="s">
        <v>355</v>
      </c>
      <c r="E28" s="530"/>
      <c r="F28" s="531">
        <f>SUM(F12:F27)</f>
        <v>1254274.6798463541</v>
      </c>
      <c r="G28" s="532">
        <f>SUM(G12:G27)</f>
        <v>1521688.2435373154</v>
      </c>
      <c r="H28" s="533"/>
      <c r="I28" s="522"/>
      <c r="J28" s="523"/>
      <c r="K28" s="534"/>
      <c r="L28" s="534"/>
      <c r="M28" s="535">
        <f>SUM(M12:M26)</f>
        <v>0</v>
      </c>
      <c r="N28" s="535">
        <f>SUM(N12:N26)</f>
        <v>0</v>
      </c>
      <c r="O28" s="532">
        <f>SUM(O12:O26)</f>
        <v>0</v>
      </c>
    </row>
    <row r="29" spans="1:16" ht="12.75" customHeight="1" x14ac:dyDescent="0.2">
      <c r="A29" s="469"/>
      <c r="B29" s="469"/>
      <c r="C29" s="536"/>
      <c r="D29" s="469"/>
      <c r="E29" s="469"/>
      <c r="F29" s="469"/>
      <c r="G29" s="469"/>
      <c r="H29" s="469"/>
      <c r="I29" s="537"/>
    </row>
    <row r="30" spans="1:16" x14ac:dyDescent="0.2">
      <c r="A30" s="538" t="s">
        <v>356</v>
      </c>
      <c r="B30" s="454"/>
      <c r="C30" s="539" t="s">
        <v>355</v>
      </c>
      <c r="D30" s="454"/>
      <c r="E30" s="454"/>
      <c r="F30" s="454"/>
      <c r="G30" s="454"/>
      <c r="H30" s="454"/>
      <c r="I30" s="537"/>
    </row>
    <row r="31" spans="1:16" x14ac:dyDescent="0.2">
      <c r="A31" s="540" t="s">
        <v>357</v>
      </c>
      <c r="B31" s="541" t="s">
        <v>355</v>
      </c>
      <c r="C31" s="542" t="s">
        <v>355</v>
      </c>
      <c r="D31" s="543" t="s">
        <v>355</v>
      </c>
      <c r="E31" s="541"/>
      <c r="F31" s="544">
        <v>476545</v>
      </c>
      <c r="G31" s="544">
        <v>578145</v>
      </c>
      <c r="H31" s="459"/>
    </row>
    <row r="32" spans="1:16" x14ac:dyDescent="0.2">
      <c r="A32" s="543" t="s">
        <v>358</v>
      </c>
      <c r="B32" s="543" t="s">
        <v>355</v>
      </c>
      <c r="C32" s="542" t="s">
        <v>355</v>
      </c>
      <c r="D32" s="543" t="s">
        <v>355</v>
      </c>
      <c r="E32" s="541"/>
      <c r="F32" s="544">
        <v>425027</v>
      </c>
      <c r="G32" s="544">
        <v>515643</v>
      </c>
      <c r="H32" s="459"/>
    </row>
    <row r="33" spans="1:8" x14ac:dyDescent="0.2">
      <c r="A33" s="545" t="s">
        <v>318</v>
      </c>
      <c r="B33" s="541"/>
      <c r="C33" s="546"/>
      <c r="D33" s="541"/>
      <c r="E33" s="541"/>
      <c r="F33" s="547">
        <f>F31+F32</f>
        <v>901572</v>
      </c>
      <c r="G33" s="547">
        <f>G31+G32</f>
        <v>1093788</v>
      </c>
      <c r="H33" s="533"/>
    </row>
    <row r="34" spans="1:8" x14ac:dyDescent="0.2">
      <c r="A34" s="454"/>
      <c r="B34" s="454"/>
      <c r="C34" s="548"/>
      <c r="D34" s="454"/>
      <c r="E34" s="454"/>
      <c r="F34" s="454"/>
      <c r="G34" s="454"/>
      <c r="H34" s="454"/>
    </row>
    <row r="35" spans="1:8" x14ac:dyDescent="0.2">
      <c r="A35" s="549" t="s">
        <v>359</v>
      </c>
      <c r="B35" s="471"/>
      <c r="C35" s="550"/>
      <c r="D35" s="541"/>
      <c r="E35" s="541"/>
      <c r="F35" s="471"/>
      <c r="G35" s="471"/>
      <c r="H35" s="469"/>
    </row>
    <row r="36" spans="1:8" x14ac:dyDescent="0.2">
      <c r="A36" s="1172"/>
      <c r="B36" s="1172"/>
      <c r="C36" s="1172"/>
      <c r="D36" s="1172"/>
      <c r="E36" s="1172"/>
      <c r="F36" s="471">
        <v>0</v>
      </c>
      <c r="G36" s="551">
        <f>F36</f>
        <v>0</v>
      </c>
      <c r="H36" s="469"/>
    </row>
    <row r="37" spans="1:8" x14ac:dyDescent="0.2">
      <c r="A37" s="1172"/>
      <c r="B37" s="1172"/>
      <c r="C37" s="1172"/>
      <c r="D37" s="1172"/>
      <c r="E37" s="1172"/>
      <c r="F37" s="471">
        <v>0</v>
      </c>
      <c r="G37" s="551">
        <f>F37</f>
        <v>0</v>
      </c>
      <c r="H37" s="469"/>
    </row>
    <row r="38" spans="1:8" x14ac:dyDescent="0.2">
      <c r="A38" s="1172"/>
      <c r="B38" s="1172"/>
      <c r="C38" s="1172"/>
      <c r="D38" s="1172"/>
      <c r="E38" s="1172"/>
      <c r="F38" s="471">
        <v>0</v>
      </c>
      <c r="G38" s="551">
        <f>F38</f>
        <v>0</v>
      </c>
      <c r="H38" s="469"/>
    </row>
    <row r="39" spans="1:8" x14ac:dyDescent="0.2">
      <c r="A39" s="1172"/>
      <c r="B39" s="1172"/>
      <c r="C39" s="1172"/>
      <c r="D39" s="1172"/>
      <c r="E39" s="1172"/>
      <c r="F39" s="471">
        <v>0</v>
      </c>
      <c r="G39" s="552">
        <f>F39</f>
        <v>0</v>
      </c>
      <c r="H39" s="469"/>
    </row>
    <row r="40" spans="1:8" x14ac:dyDescent="0.2">
      <c r="A40" s="553" t="s">
        <v>360</v>
      </c>
      <c r="B40" s="471"/>
      <c r="C40" s="546"/>
      <c r="D40" s="541"/>
      <c r="E40" s="541"/>
      <c r="F40" s="554">
        <f>SUM(F36:F39)</f>
        <v>0</v>
      </c>
      <c r="G40" s="554">
        <f>SUM(G36:G39)</f>
        <v>0</v>
      </c>
      <c r="H40" s="555"/>
    </row>
    <row r="41" spans="1:8" x14ac:dyDescent="0.2">
      <c r="A41" s="454"/>
      <c r="B41" s="469"/>
      <c r="C41" s="548"/>
      <c r="D41" s="454"/>
      <c r="E41" s="454"/>
      <c r="F41" s="454"/>
      <c r="G41" s="454"/>
      <c r="H41" s="454"/>
    </row>
    <row r="42" spans="1:8" x14ac:dyDescent="0.2">
      <c r="A42" s="556" t="s">
        <v>361</v>
      </c>
      <c r="B42" s="454"/>
      <c r="C42" s="548"/>
      <c r="D42" s="454"/>
      <c r="E42" s="454"/>
      <c r="F42" s="557">
        <f>F28+F33+F40</f>
        <v>2155846.6798463538</v>
      </c>
      <c r="G42" s="557">
        <f>G28+G33+G40</f>
        <v>2615476.2435373152</v>
      </c>
      <c r="H42" s="555"/>
    </row>
    <row r="43" spans="1:8" x14ac:dyDescent="0.2">
      <c r="A43" s="454"/>
      <c r="B43" s="454"/>
      <c r="C43" s="548"/>
      <c r="D43" s="454"/>
      <c r="E43" s="454"/>
      <c r="F43" s="454"/>
      <c r="G43" s="454"/>
      <c r="H43" s="454"/>
    </row>
    <row r="44" spans="1:8" x14ac:dyDescent="0.2">
      <c r="A44" s="556" t="s">
        <v>362</v>
      </c>
      <c r="B44" s="469"/>
      <c r="C44" s="536"/>
      <c r="D44" s="469"/>
      <c r="E44" s="469"/>
      <c r="F44" s="558">
        <f>-('[13]PropJ 1415 Contract Cost Detail'!F5+'[13]PropJ 1415 Contract Cost Detail'!P10+'[13]PropJ 1415 Contract Cost Detail'!P14)</f>
        <v>0</v>
      </c>
      <c r="G44" s="559">
        <f>-('[13]PropJ 1415 Contract Cost Detail'!G5+'[13]PropJ 1415 Contract Cost Detail'!Q10+'[13]PropJ 1415 Contract Cost Detail'!Q14)</f>
        <v>0</v>
      </c>
      <c r="H44" s="560"/>
    </row>
    <row r="45" spans="1:8" x14ac:dyDescent="0.2">
      <c r="A45" s="454"/>
      <c r="B45" s="454"/>
      <c r="C45" s="548"/>
      <c r="D45" s="454"/>
      <c r="E45" s="454"/>
      <c r="F45" s="561"/>
      <c r="G45" s="561"/>
      <c r="H45" s="458"/>
    </row>
    <row r="46" spans="1:8" ht="13.5" thickBot="1" x14ac:dyDescent="0.25">
      <c r="A46" s="562" t="s">
        <v>363</v>
      </c>
      <c r="B46" s="454"/>
      <c r="C46" s="548"/>
      <c r="D46" s="454"/>
      <c r="E46" s="454"/>
      <c r="F46" s="563">
        <f>F42+F44</f>
        <v>2155846.6798463538</v>
      </c>
      <c r="G46" s="563">
        <f>G42+G44</f>
        <v>2615476.2435373152</v>
      </c>
      <c r="H46" s="564"/>
    </row>
    <row r="47" spans="1:8" ht="13.5" thickTop="1" x14ac:dyDescent="0.2">
      <c r="A47" s="565" t="s">
        <v>364</v>
      </c>
      <c r="F47" s="566">
        <f>F46/F42</f>
        <v>1</v>
      </c>
      <c r="G47" s="969">
        <f>G46/G42</f>
        <v>1</v>
      </c>
      <c r="H47" s="567"/>
    </row>
    <row r="48" spans="1:8" x14ac:dyDescent="0.2">
      <c r="F48" s="568"/>
      <c r="G48" s="568"/>
      <c r="H48" s="568"/>
    </row>
    <row r="49" spans="1:15" x14ac:dyDescent="0.2">
      <c r="A49" s="569" t="s">
        <v>365</v>
      </c>
      <c r="C49" s="570" t="s">
        <v>355</v>
      </c>
    </row>
    <row r="50" spans="1:15" ht="12.75" customHeight="1" x14ac:dyDescent="0.2">
      <c r="A50" s="1173" t="s">
        <v>923</v>
      </c>
      <c r="B50" s="1173"/>
      <c r="C50" s="1173"/>
      <c r="D50" s="1173"/>
      <c r="E50" s="1173"/>
      <c r="F50" s="1173"/>
      <c r="G50" s="1173"/>
      <c r="H50" s="571"/>
      <c r="I50" s="571"/>
      <c r="J50" s="571"/>
      <c r="K50" s="571"/>
      <c r="L50" s="571"/>
      <c r="M50" s="571"/>
      <c r="N50" s="571"/>
      <c r="O50" s="571"/>
    </row>
    <row r="51" spans="1:15" ht="13.5" x14ac:dyDescent="0.25">
      <c r="A51" s="1168" t="s">
        <v>366</v>
      </c>
      <c r="B51" s="1169"/>
      <c r="C51" s="1169"/>
      <c r="D51" s="1169"/>
      <c r="E51" s="1169"/>
      <c r="F51" s="1169"/>
      <c r="G51" s="1169"/>
      <c r="H51" s="571"/>
      <c r="I51" s="571"/>
      <c r="J51" s="571"/>
      <c r="K51" s="571"/>
      <c r="L51" s="571"/>
      <c r="M51" s="571"/>
      <c r="N51" s="571"/>
      <c r="O51" s="571"/>
    </row>
    <row r="52" spans="1:15" x14ac:dyDescent="0.2">
      <c r="A52" s="1170" t="s">
        <v>367</v>
      </c>
      <c r="B52" s="1170"/>
      <c r="C52" s="1170"/>
      <c r="D52" s="1170"/>
      <c r="E52" s="1170"/>
      <c r="F52" s="1170"/>
      <c r="G52" s="1170"/>
      <c r="H52" s="571"/>
      <c r="I52" s="571"/>
      <c r="J52" s="571"/>
      <c r="K52" s="571"/>
      <c r="L52" s="571"/>
      <c r="M52" s="571"/>
      <c r="N52" s="571"/>
      <c r="O52" s="571"/>
    </row>
    <row r="53" spans="1:15" x14ac:dyDescent="0.2">
      <c r="A53" s="472" t="s">
        <v>368</v>
      </c>
      <c r="B53" s="571"/>
      <c r="C53" s="571"/>
      <c r="D53" s="571"/>
      <c r="E53" s="571"/>
      <c r="F53" s="571"/>
      <c r="G53" s="571"/>
      <c r="H53" s="571"/>
      <c r="I53" s="571"/>
      <c r="J53" s="571"/>
      <c r="K53" s="571"/>
      <c r="L53" s="571"/>
      <c r="M53" s="571"/>
      <c r="N53" s="571"/>
      <c r="O53" s="571"/>
    </row>
    <row r="54" spans="1:15" x14ac:dyDescent="0.2">
      <c r="A54" s="572" t="s">
        <v>369</v>
      </c>
      <c r="B54" s="572"/>
      <c r="C54" s="572"/>
      <c r="D54" s="572"/>
      <c r="E54" s="572"/>
      <c r="F54" s="572"/>
      <c r="G54" s="572"/>
    </row>
    <row r="55" spans="1:15" x14ac:dyDescent="0.2">
      <c r="A55" s="572"/>
      <c r="B55" s="572"/>
      <c r="C55" s="572"/>
      <c r="D55" s="572"/>
      <c r="E55" s="572"/>
      <c r="F55" s="572"/>
      <c r="G55" s="572"/>
    </row>
    <row r="56" spans="1:15" x14ac:dyDescent="0.2">
      <c r="A56" s="572"/>
      <c r="B56" s="572"/>
      <c r="C56" s="572"/>
      <c r="D56" s="572"/>
      <c r="E56" s="572"/>
      <c r="F56" s="572"/>
      <c r="G56" s="572"/>
    </row>
    <row r="57" spans="1:15" x14ac:dyDescent="0.2">
      <c r="A57" s="572"/>
      <c r="B57" s="572"/>
      <c r="C57" s="572"/>
      <c r="D57" s="572"/>
      <c r="E57" s="572"/>
      <c r="F57" s="572"/>
      <c r="G57" s="572"/>
    </row>
    <row r="58" spans="1:15" x14ac:dyDescent="0.2">
      <c r="A58" s="571"/>
      <c r="B58" s="571"/>
      <c r="C58" s="571"/>
      <c r="D58" s="571"/>
      <c r="E58" s="571"/>
      <c r="F58" s="571"/>
      <c r="G58" s="571"/>
    </row>
  </sheetData>
  <mergeCells count="8">
    <mergeCell ref="A51:G51"/>
    <mergeCell ref="A52:G52"/>
    <mergeCell ref="I3:M5"/>
    <mergeCell ref="A36:E36"/>
    <mergeCell ref="A37:E37"/>
    <mergeCell ref="A38:E38"/>
    <mergeCell ref="A39:E39"/>
    <mergeCell ref="A50:G50"/>
  </mergeCells>
  <dataValidations count="1">
    <dataValidation type="list" allowBlank="1" showInputMessage="1" showErrorMessage="1" error="Please enter either an S or a C." sqref="I12:I22">
      <formula1>$P$12:$P$13</formula1>
    </dataValidation>
  </dataValidations>
  <pageMargins left="0.39" right="0.25" top="0.43" bottom="0.45" header="0.3" footer="0.3"/>
  <pageSetup scale="86" orientation="portrait" r:id="rId1"/>
  <colBreaks count="1" manualBreakCount="1">
    <brk id="7" max="1048575" man="1"/>
  </col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pageSetUpPr fitToPage="1"/>
  </sheetPr>
  <dimension ref="A1:R47"/>
  <sheetViews>
    <sheetView zoomScaleNormal="100" workbookViewId="0">
      <selection sqref="A1:Q53"/>
    </sheetView>
  </sheetViews>
  <sheetFormatPr defaultColWidth="9.140625" defaultRowHeight="12.75" x14ac:dyDescent="0.2"/>
  <cols>
    <col min="1" max="5" width="9.140625" style="573"/>
    <col min="6" max="7" width="9.7109375" style="573" bestFit="1" customWidth="1"/>
    <col min="8" max="8" width="9.140625" style="573"/>
    <col min="9" max="9" width="3" style="573" customWidth="1"/>
    <col min="10" max="10" width="9.140625" style="573"/>
    <col min="11" max="11" width="13" style="573" customWidth="1"/>
    <col min="12" max="15" width="9.140625" style="573"/>
    <col min="16" max="16" width="11.140625" style="573" customWidth="1"/>
    <col min="17" max="17" width="11.28515625" style="573" customWidth="1"/>
    <col min="18" max="16384" width="9.140625" style="573"/>
  </cols>
  <sheetData>
    <row r="1" spans="1:18" s="451" customFormat="1" ht="18" x14ac:dyDescent="0.25">
      <c r="A1" s="450" t="s">
        <v>310</v>
      </c>
      <c r="C1" s="452"/>
      <c r="F1" s="573"/>
      <c r="G1" s="573"/>
      <c r="H1" s="573"/>
      <c r="I1" s="573"/>
      <c r="J1" s="573"/>
      <c r="K1" s="573"/>
      <c r="L1" s="573"/>
      <c r="M1" s="573"/>
      <c r="N1" s="573"/>
      <c r="O1" s="573"/>
      <c r="P1" s="573"/>
      <c r="Q1" s="573"/>
    </row>
    <row r="2" spans="1:18" s="451" customFormat="1" x14ac:dyDescent="0.2">
      <c r="A2" s="573"/>
      <c r="B2" s="573"/>
      <c r="C2" s="573"/>
      <c r="D2" s="573"/>
      <c r="E2" s="573"/>
      <c r="F2" s="573"/>
      <c r="G2" s="573"/>
      <c r="H2" s="573"/>
      <c r="I2" s="573"/>
      <c r="J2" s="573"/>
      <c r="K2" s="573"/>
      <c r="L2" s="573"/>
      <c r="M2" s="573"/>
      <c r="N2" s="573"/>
      <c r="O2" s="573"/>
      <c r="P2" s="573"/>
      <c r="Q2" s="573"/>
    </row>
    <row r="3" spans="1:18" ht="15.75" x14ac:dyDescent="0.25">
      <c r="A3" s="574" t="s">
        <v>370</v>
      </c>
      <c r="B3" s="575"/>
      <c r="J3" s="576" t="s">
        <v>371</v>
      </c>
      <c r="K3" s="575"/>
      <c r="L3" s="454"/>
      <c r="M3" s="454"/>
      <c r="N3" s="451"/>
      <c r="O3" s="451"/>
      <c r="P3" s="451"/>
      <c r="Q3" s="451"/>
      <c r="R3" s="451"/>
    </row>
    <row r="4" spans="1:18" x14ac:dyDescent="0.2">
      <c r="F4" s="577" t="s">
        <v>338</v>
      </c>
      <c r="G4" s="577" t="s">
        <v>339</v>
      </c>
      <c r="H4" s="578"/>
      <c r="R4" s="451"/>
    </row>
    <row r="5" spans="1:18" ht="12.75" customHeight="1" x14ac:dyDescent="0.2">
      <c r="A5" s="1176" t="s">
        <v>372</v>
      </c>
      <c r="B5" s="1177"/>
      <c r="C5" s="1177"/>
      <c r="D5" s="1177"/>
      <c r="E5" s="1178"/>
      <c r="F5" s="579">
        <v>283685</v>
      </c>
      <c r="G5" s="579">
        <v>312053</v>
      </c>
      <c r="H5" s="578"/>
      <c r="J5" s="1179" t="s">
        <v>373</v>
      </c>
      <c r="K5" s="1180"/>
      <c r="L5" s="1180"/>
      <c r="M5" s="1180"/>
      <c r="N5" s="1181"/>
      <c r="O5" s="1185" t="s">
        <v>924</v>
      </c>
      <c r="P5" s="1186"/>
      <c r="Q5" s="1187"/>
      <c r="R5" s="451"/>
    </row>
    <row r="6" spans="1:18" x14ac:dyDescent="0.2">
      <c r="A6" s="580"/>
      <c r="B6" s="580"/>
      <c r="C6" s="580"/>
      <c r="D6" s="580"/>
      <c r="E6" s="580"/>
      <c r="F6" s="581"/>
      <c r="G6" s="581"/>
      <c r="H6" s="578"/>
      <c r="J6" s="1182"/>
      <c r="K6" s="1183"/>
      <c r="L6" s="1183"/>
      <c r="M6" s="1183"/>
      <c r="N6" s="1184"/>
      <c r="O6" s="1188"/>
      <c r="P6" s="1189"/>
      <c r="Q6" s="1190"/>
      <c r="R6" s="451"/>
    </row>
    <row r="7" spans="1:18" x14ac:dyDescent="0.2">
      <c r="A7" s="454"/>
      <c r="B7" s="454"/>
      <c r="C7" s="454"/>
      <c r="D7" s="454"/>
      <c r="E7" s="454"/>
      <c r="F7" s="454"/>
      <c r="G7" s="451"/>
      <c r="H7" s="451"/>
      <c r="J7" s="451"/>
      <c r="K7" s="451"/>
      <c r="L7" s="451"/>
      <c r="M7" s="451"/>
      <c r="N7" s="451"/>
      <c r="O7" s="451"/>
      <c r="P7" s="451"/>
      <c r="Q7" s="451"/>
      <c r="R7" s="451"/>
    </row>
    <row r="8" spans="1:18" x14ac:dyDescent="0.2">
      <c r="J8" s="456" t="s">
        <v>374</v>
      </c>
      <c r="K8" s="456"/>
      <c r="L8" s="458"/>
      <c r="M8" s="458"/>
      <c r="N8" s="451"/>
      <c r="O8" s="451"/>
      <c r="P8" s="451"/>
      <c r="Q8" s="451"/>
      <c r="R8" s="451"/>
    </row>
    <row r="9" spans="1:18" ht="15" x14ac:dyDescent="0.25">
      <c r="A9" s="582" t="s">
        <v>375</v>
      </c>
      <c r="J9" s="583" t="s">
        <v>235</v>
      </c>
      <c r="K9" s="1191" t="s">
        <v>334</v>
      </c>
      <c r="L9" s="1191"/>
      <c r="M9" s="584" t="s">
        <v>376</v>
      </c>
      <c r="N9" s="1192" t="s">
        <v>377</v>
      </c>
      <c r="O9" s="1193"/>
      <c r="P9" s="585" t="s">
        <v>378</v>
      </c>
      <c r="Q9" s="586" t="s">
        <v>339</v>
      </c>
      <c r="R9" s="451"/>
    </row>
    <row r="10" spans="1:18" ht="24.75" customHeight="1" x14ac:dyDescent="0.2">
      <c r="A10" s="1174" t="s">
        <v>379</v>
      </c>
      <c r="B10" s="1174"/>
      <c r="C10" s="1174"/>
      <c r="D10" s="1174"/>
      <c r="E10" s="1174"/>
      <c r="F10" s="1174"/>
      <c r="G10" s="1174"/>
      <c r="H10" s="1174"/>
      <c r="J10" s="872">
        <v>1840</v>
      </c>
      <c r="K10" s="1175" t="s">
        <v>919</v>
      </c>
      <c r="L10" s="1175"/>
      <c r="M10" s="877">
        <v>0.2</v>
      </c>
      <c r="N10" s="871">
        <v>2166</v>
      </c>
      <c r="O10" s="871">
        <v>2632</v>
      </c>
      <c r="P10" s="585">
        <f>M10*N10*26.1</f>
        <v>11306.520000000002</v>
      </c>
      <c r="Q10" s="586">
        <f>M10*O10*26.1</f>
        <v>13739.04</v>
      </c>
      <c r="R10" s="451"/>
    </row>
    <row r="11" spans="1:18" x14ac:dyDescent="0.2">
      <c r="A11" s="1174"/>
      <c r="B11" s="1174"/>
      <c r="C11" s="1174"/>
      <c r="D11" s="1174"/>
      <c r="E11" s="1174"/>
      <c r="F11" s="1174"/>
      <c r="G11" s="1174"/>
      <c r="H11" s="1174"/>
      <c r="J11" s="456" t="s">
        <v>380</v>
      </c>
      <c r="K11" s="456"/>
      <c r="L11" s="458"/>
      <c r="M11" s="587"/>
      <c r="N11" s="451"/>
      <c r="O11" s="451"/>
      <c r="P11" s="451"/>
      <c r="Q11" s="451"/>
      <c r="R11" s="451"/>
    </row>
    <row r="12" spans="1:18" ht="33" customHeight="1" x14ac:dyDescent="0.2">
      <c r="A12" s="1174" t="s">
        <v>962</v>
      </c>
      <c r="B12" s="1174"/>
      <c r="C12" s="1174"/>
      <c r="D12" s="1174"/>
      <c r="E12" s="1174"/>
      <c r="F12" s="1174"/>
      <c r="G12" s="1174"/>
      <c r="H12" s="1174"/>
      <c r="J12" s="1195" t="s">
        <v>341</v>
      </c>
      <c r="K12" s="1197" t="s">
        <v>342</v>
      </c>
      <c r="L12" s="1198" t="s">
        <v>343</v>
      </c>
      <c r="M12" s="1198" t="s">
        <v>344</v>
      </c>
      <c r="N12" s="1198" t="s">
        <v>345</v>
      </c>
      <c r="O12" s="1198" t="s">
        <v>381</v>
      </c>
      <c r="P12" s="1198" t="s">
        <v>382</v>
      </c>
      <c r="Q12" s="1198" t="s">
        <v>383</v>
      </c>
      <c r="R12" s="451"/>
    </row>
    <row r="13" spans="1:18" ht="23.25" customHeight="1" x14ac:dyDescent="0.2">
      <c r="A13" s="1174"/>
      <c r="B13" s="1174"/>
      <c r="C13" s="1174"/>
      <c r="D13" s="1174"/>
      <c r="E13" s="1174"/>
      <c r="F13" s="1174"/>
      <c r="G13" s="1174"/>
      <c r="H13" s="1174"/>
      <c r="J13" s="1196"/>
      <c r="K13" s="1197"/>
      <c r="L13" s="1198"/>
      <c r="M13" s="1198"/>
      <c r="N13" s="1198"/>
      <c r="O13" s="1198"/>
      <c r="P13" s="1198"/>
      <c r="Q13" s="1198"/>
      <c r="R13" s="451"/>
    </row>
    <row r="14" spans="1:18" ht="12.75" customHeight="1" x14ac:dyDescent="0.2">
      <c r="A14" s="1174"/>
      <c r="B14" s="1174"/>
      <c r="C14" s="1174"/>
      <c r="D14" s="1174"/>
      <c r="E14" s="1174"/>
      <c r="F14" s="1174"/>
      <c r="G14" s="1174"/>
      <c r="H14" s="1174"/>
      <c r="J14" s="588"/>
      <c r="K14" s="589"/>
      <c r="L14" s="590"/>
      <c r="M14" s="589">
        <f>P10*L14</f>
        <v>0</v>
      </c>
      <c r="N14" s="589">
        <f>Q10*L14</f>
        <v>0</v>
      </c>
      <c r="O14" s="589">
        <f>K14*M10</f>
        <v>0</v>
      </c>
      <c r="P14" s="589">
        <f>M14+O14</f>
        <v>0</v>
      </c>
      <c r="Q14" s="589">
        <f>N14+O14</f>
        <v>0</v>
      </c>
      <c r="R14" s="451"/>
    </row>
    <row r="15" spans="1:18" ht="15" x14ac:dyDescent="0.25">
      <c r="A15" s="942"/>
      <c r="B15" s="942"/>
      <c r="C15" s="942"/>
      <c r="D15" s="942"/>
      <c r="E15" s="942"/>
      <c r="F15" s="942"/>
      <c r="G15" s="942"/>
      <c r="H15" s="942"/>
    </row>
    <row r="16" spans="1:18" ht="15.75" customHeight="1" x14ac:dyDescent="0.25">
      <c r="A16" s="942"/>
      <c r="B16" s="942"/>
      <c r="C16" s="942"/>
      <c r="D16" s="942"/>
      <c r="E16" s="942"/>
      <c r="F16" s="942"/>
      <c r="G16" s="942"/>
      <c r="H16" s="942"/>
    </row>
    <row r="17" spans="1:8" ht="15" x14ac:dyDescent="0.25">
      <c r="A17" s="942"/>
      <c r="B17" s="942"/>
      <c r="C17" s="942"/>
      <c r="D17" s="942"/>
      <c r="E17" s="942"/>
      <c r="F17" s="942"/>
      <c r="G17" s="942"/>
      <c r="H17" s="942"/>
    </row>
    <row r="18" spans="1:8" ht="15" x14ac:dyDescent="0.25">
      <c r="A18" s="942"/>
      <c r="B18" s="942"/>
      <c r="C18" s="942"/>
      <c r="D18" s="942"/>
      <c r="E18" s="942"/>
      <c r="F18" s="942"/>
      <c r="G18" s="942"/>
      <c r="H18" s="942"/>
    </row>
    <row r="19" spans="1:8" ht="15.75" customHeight="1" x14ac:dyDescent="0.25">
      <c r="A19" s="942"/>
      <c r="B19" s="942"/>
      <c r="C19" s="942"/>
      <c r="D19" s="942"/>
      <c r="E19" s="942"/>
      <c r="F19" s="942"/>
      <c r="G19" s="942"/>
      <c r="H19" s="942"/>
    </row>
    <row r="20" spans="1:8" ht="15" x14ac:dyDescent="0.25">
      <c r="A20" s="942"/>
      <c r="B20" s="942"/>
      <c r="C20" s="942"/>
      <c r="D20" s="942"/>
      <c r="E20" s="942"/>
      <c r="F20" s="942"/>
      <c r="G20" s="942"/>
      <c r="H20" s="942"/>
    </row>
    <row r="21" spans="1:8" ht="15" x14ac:dyDescent="0.25">
      <c r="A21" s="942"/>
      <c r="B21" s="942"/>
      <c r="C21" s="942"/>
      <c r="D21" s="942"/>
      <c r="E21" s="942"/>
      <c r="F21" s="942"/>
      <c r="G21" s="942"/>
      <c r="H21" s="942"/>
    </row>
    <row r="22" spans="1:8" ht="15" x14ac:dyDescent="0.25">
      <c r="A22" s="942"/>
      <c r="B22" s="942"/>
      <c r="C22" s="942"/>
      <c r="D22" s="942"/>
      <c r="E22" s="942"/>
      <c r="F22" s="942"/>
      <c r="G22" s="942"/>
      <c r="H22" s="942"/>
    </row>
    <row r="23" spans="1:8" ht="30" customHeight="1" x14ac:dyDescent="0.2"/>
    <row r="25" spans="1:8" ht="12.75" customHeight="1" x14ac:dyDescent="0.2"/>
    <row r="28" spans="1:8" ht="25.5" customHeight="1" x14ac:dyDescent="0.2"/>
    <row r="31" spans="1:8" x14ac:dyDescent="0.2">
      <c r="A31" s="591"/>
      <c r="B31" s="591"/>
      <c r="C31" s="591"/>
      <c r="D31" s="591"/>
      <c r="E31" s="591"/>
      <c r="F31" s="591"/>
      <c r="G31" s="591"/>
      <c r="H31" s="591"/>
    </row>
    <row r="32" spans="1:8" x14ac:dyDescent="0.2">
      <c r="A32" s="1199" t="s">
        <v>384</v>
      </c>
      <c r="B32" s="1199"/>
      <c r="C32" s="1199"/>
      <c r="D32" s="1199"/>
      <c r="E32" s="1199"/>
      <c r="F32" s="1199"/>
      <c r="G32" s="1199"/>
      <c r="H32" s="1199"/>
    </row>
    <row r="33" spans="1:8" ht="28.5" customHeight="1" x14ac:dyDescent="0.2">
      <c r="A33" s="1200" t="s">
        <v>385</v>
      </c>
      <c r="B33" s="1200"/>
      <c r="C33" s="1200"/>
      <c r="D33" s="1200"/>
      <c r="E33" s="1200"/>
      <c r="F33" s="1200"/>
      <c r="G33" s="1200"/>
      <c r="H33" s="1200"/>
    </row>
    <row r="34" spans="1:8" x14ac:dyDescent="0.2">
      <c r="A34" s="1194" t="s">
        <v>386</v>
      </c>
      <c r="B34" s="1194"/>
      <c r="C34" s="1194"/>
      <c r="D34" s="1194"/>
      <c r="E34" s="1194"/>
      <c r="F34" s="1194"/>
      <c r="G34" s="1194"/>
      <c r="H34" s="1194"/>
    </row>
    <row r="35" spans="1:8" x14ac:dyDescent="0.2">
      <c r="A35" s="1194" t="s">
        <v>387</v>
      </c>
      <c r="B35" s="1194"/>
      <c r="C35" s="1194"/>
      <c r="D35" s="1194"/>
      <c r="E35" s="1194"/>
      <c r="F35" s="1194"/>
      <c r="G35" s="1194"/>
      <c r="H35" s="1194"/>
    </row>
    <row r="36" spans="1:8" x14ac:dyDescent="0.2">
      <c r="A36" s="1194" t="s">
        <v>388</v>
      </c>
      <c r="B36" s="1194"/>
      <c r="C36" s="1194"/>
      <c r="D36" s="1194"/>
      <c r="E36" s="1194"/>
      <c r="F36" s="1194"/>
      <c r="G36" s="1194"/>
      <c r="H36" s="1194"/>
    </row>
    <row r="37" spans="1:8" x14ac:dyDescent="0.2">
      <c r="A37" s="1194" t="s">
        <v>389</v>
      </c>
      <c r="B37" s="1194"/>
      <c r="C37" s="1194"/>
      <c r="D37" s="1194"/>
      <c r="E37" s="1194"/>
      <c r="F37" s="1194"/>
      <c r="G37" s="1194"/>
      <c r="H37" s="1194"/>
    </row>
    <row r="38" spans="1:8" x14ac:dyDescent="0.2">
      <c r="A38" s="591"/>
      <c r="B38" s="591"/>
      <c r="C38" s="591"/>
      <c r="D38" s="591"/>
      <c r="E38" s="591"/>
      <c r="F38" s="591"/>
      <c r="G38" s="591"/>
      <c r="H38" s="591"/>
    </row>
    <row r="39" spans="1:8" x14ac:dyDescent="0.2">
      <c r="A39" s="1201" t="s">
        <v>390</v>
      </c>
      <c r="B39" s="1201"/>
      <c r="C39" s="1201"/>
      <c r="D39" s="1201"/>
      <c r="E39" s="1201"/>
      <c r="F39" s="1201"/>
      <c r="G39" s="1201"/>
      <c r="H39" s="1201"/>
    </row>
    <row r="40" spans="1:8" ht="31.5" customHeight="1" x14ac:dyDescent="0.2">
      <c r="A40" s="1194"/>
      <c r="B40" s="1194"/>
      <c r="C40" s="1194"/>
      <c r="D40" s="1194"/>
      <c r="E40" s="1194"/>
      <c r="F40" s="1194"/>
      <c r="G40" s="1194"/>
      <c r="H40" s="1194"/>
    </row>
    <row r="41" spans="1:8" x14ac:dyDescent="0.2">
      <c r="A41" s="1194"/>
      <c r="B41" s="1194"/>
      <c r="C41" s="1194"/>
      <c r="D41" s="1194"/>
      <c r="E41" s="1194"/>
      <c r="F41" s="1194"/>
      <c r="G41" s="1194"/>
      <c r="H41" s="1194"/>
    </row>
    <row r="42" spans="1:8" x14ac:dyDescent="0.2">
      <c r="A42" s="1201" t="s">
        <v>391</v>
      </c>
      <c r="B42" s="1201"/>
      <c r="C42" s="1201"/>
      <c r="D42" s="1201"/>
      <c r="E42" s="1201"/>
      <c r="F42" s="1201"/>
      <c r="G42" s="1201"/>
      <c r="H42" s="1201"/>
    </row>
    <row r="43" spans="1:8" x14ac:dyDescent="0.2">
      <c r="A43" s="1203"/>
      <c r="B43" s="1194"/>
      <c r="C43" s="1194"/>
      <c r="D43" s="1194"/>
      <c r="E43" s="1194"/>
      <c r="F43" s="1194"/>
      <c r="G43" s="1194"/>
      <c r="H43" s="1194"/>
    </row>
    <row r="44" spans="1:8" x14ac:dyDescent="0.2">
      <c r="A44" s="1194"/>
      <c r="B44" s="1194"/>
      <c r="C44" s="1194"/>
      <c r="D44" s="1194"/>
      <c r="E44" s="1194"/>
      <c r="F44" s="1194"/>
      <c r="G44" s="1194"/>
      <c r="H44" s="1194"/>
    </row>
    <row r="45" spans="1:8" ht="26.25" customHeight="1" x14ac:dyDescent="0.2">
      <c r="A45" s="1201" t="s">
        <v>392</v>
      </c>
      <c r="B45" s="1201"/>
      <c r="C45" s="1201"/>
      <c r="D45" s="1201"/>
      <c r="E45" s="1201"/>
      <c r="F45" s="1201"/>
      <c r="G45" s="1201"/>
      <c r="H45" s="1201"/>
    </row>
    <row r="46" spans="1:8" x14ac:dyDescent="0.2">
      <c r="A46" s="1202"/>
      <c r="B46" s="1202"/>
      <c r="C46" s="1202"/>
      <c r="D46" s="1202"/>
      <c r="E46" s="1202"/>
      <c r="F46" s="1202"/>
      <c r="G46" s="1202"/>
      <c r="H46" s="1202"/>
    </row>
    <row r="47" spans="1:8" x14ac:dyDescent="0.2">
      <c r="A47" s="1202"/>
      <c r="B47" s="1202"/>
      <c r="C47" s="1202"/>
      <c r="D47" s="1202"/>
      <c r="E47" s="1202"/>
      <c r="F47" s="1202"/>
      <c r="G47" s="1202"/>
      <c r="H47" s="1202"/>
    </row>
  </sheetData>
  <mergeCells count="29">
    <mergeCell ref="A45:H45"/>
    <mergeCell ref="A46:H47"/>
    <mergeCell ref="A36:H36"/>
    <mergeCell ref="A37:H37"/>
    <mergeCell ref="A39:H39"/>
    <mergeCell ref="A42:H42"/>
    <mergeCell ref="A43:H44"/>
    <mergeCell ref="A40:H41"/>
    <mergeCell ref="P12:P13"/>
    <mergeCell ref="Q12:Q13"/>
    <mergeCell ref="A32:H32"/>
    <mergeCell ref="A33:H33"/>
    <mergeCell ref="A34:H34"/>
    <mergeCell ref="N12:N13"/>
    <mergeCell ref="O12:O13"/>
    <mergeCell ref="A35:H35"/>
    <mergeCell ref="J12:J13"/>
    <mergeCell ref="K12:K13"/>
    <mergeCell ref="L12:L13"/>
    <mergeCell ref="M12:M13"/>
    <mergeCell ref="A12:H13"/>
    <mergeCell ref="A14:H14"/>
    <mergeCell ref="A10:H11"/>
    <mergeCell ref="K10:L10"/>
    <mergeCell ref="A5:E5"/>
    <mergeCell ref="J5:N6"/>
    <mergeCell ref="O5:Q6"/>
    <mergeCell ref="K9:L9"/>
    <mergeCell ref="N9:O9"/>
  </mergeCells>
  <pageMargins left="0.7" right="0.7" top="0.43" bottom="0.39" header="0.3" footer="0.18"/>
  <pageSetup scale="69" orientation="landscape"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pageSetUpPr fitToPage="1"/>
  </sheetPr>
  <dimension ref="B2:Q54"/>
  <sheetViews>
    <sheetView zoomScaleNormal="100" workbookViewId="0">
      <pane xSplit="8" ySplit="10" topLeftCell="I14" activePane="bottomRight" state="frozen"/>
      <selection activeCell="N46" sqref="N46"/>
      <selection pane="topRight" activeCell="N46" sqref="N46"/>
      <selection pane="bottomLeft" activeCell="N46" sqref="N46"/>
      <selection pane="bottomRight" activeCell="B26" sqref="B26"/>
    </sheetView>
  </sheetViews>
  <sheetFormatPr defaultColWidth="7.42578125" defaultRowHeight="12.75" x14ac:dyDescent="0.2"/>
  <cols>
    <col min="1" max="1" width="7.42578125" style="451"/>
    <col min="2" max="2" width="37" style="451" customWidth="1"/>
    <col min="3" max="3" width="5.7109375" style="451" bestFit="1" customWidth="1"/>
    <col min="4" max="4" width="12.140625" style="452" bestFit="1" customWidth="1"/>
    <col min="5" max="6" width="7.42578125" style="451"/>
    <col min="7" max="7" width="12.7109375" style="451" customWidth="1"/>
    <col min="8" max="8" width="12.85546875" style="451" customWidth="1"/>
    <col min="9" max="9" width="5.42578125" style="451" customWidth="1"/>
    <col min="10" max="10" width="10.140625" style="451" customWidth="1"/>
    <col min="11" max="11" width="7.42578125" style="451"/>
    <col min="12" max="12" width="7.85546875" style="451" customWidth="1"/>
    <col min="13" max="13" width="8.42578125" style="451" customWidth="1"/>
    <col min="14" max="14" width="10.7109375" style="451" bestFit="1" customWidth="1"/>
    <col min="15" max="15" width="11.42578125" style="451" customWidth="1"/>
    <col min="16" max="16" width="10.85546875" style="451" customWidth="1"/>
    <col min="17" max="17" width="9.7109375" style="451" hidden="1" customWidth="1"/>
    <col min="18" max="16384" width="7.42578125" style="451"/>
  </cols>
  <sheetData>
    <row r="2" spans="2:17" x14ac:dyDescent="0.2">
      <c r="B2" s="592" t="s">
        <v>393</v>
      </c>
      <c r="C2" s="469"/>
      <c r="J2" s="593"/>
    </row>
    <row r="3" spans="2:17" x14ac:dyDescent="0.2">
      <c r="B3" s="471" t="s">
        <v>394</v>
      </c>
      <c r="C3" s="469"/>
      <c r="J3" s="476"/>
    </row>
    <row r="4" spans="2:17" x14ac:dyDescent="0.2">
      <c r="B4" s="469" t="s">
        <v>329</v>
      </c>
      <c r="C4" s="469"/>
      <c r="J4" s="476"/>
    </row>
    <row r="5" spans="2:17" ht="15" x14ac:dyDescent="0.25">
      <c r="B5" s="455" t="s">
        <v>312</v>
      </c>
      <c r="C5" s="469"/>
    </row>
    <row r="6" spans="2:17" ht="15.75" x14ac:dyDescent="0.25">
      <c r="B6" s="594"/>
      <c r="C6" s="469"/>
      <c r="J6" s="595" t="s">
        <v>330</v>
      </c>
    </row>
    <row r="7" spans="2:17" x14ac:dyDescent="0.2">
      <c r="B7" s="453" t="s">
        <v>331</v>
      </c>
      <c r="C7" s="469"/>
      <c r="I7" s="596"/>
    </row>
    <row r="8" spans="2:17" x14ac:dyDescent="0.2">
      <c r="B8" s="453"/>
      <c r="C8" s="469"/>
      <c r="J8" s="453" t="s">
        <v>332</v>
      </c>
      <c r="L8" s="476"/>
    </row>
    <row r="9" spans="2:17" x14ac:dyDescent="0.2">
      <c r="B9" s="477" t="s">
        <v>333</v>
      </c>
      <c r="K9" s="453"/>
    </row>
    <row r="10" spans="2:17" ht="42.75" customHeight="1" x14ac:dyDescent="0.2">
      <c r="B10" s="597" t="s">
        <v>334</v>
      </c>
      <c r="C10" s="482" t="s">
        <v>335</v>
      </c>
      <c r="D10" s="598" t="s">
        <v>336</v>
      </c>
      <c r="E10" s="599" t="s">
        <v>337</v>
      </c>
      <c r="F10" s="599"/>
      <c r="G10" s="482" t="s">
        <v>338</v>
      </c>
      <c r="H10" s="482" t="s">
        <v>339</v>
      </c>
      <c r="I10" s="484"/>
      <c r="J10" s="485" t="s">
        <v>340</v>
      </c>
      <c r="K10" s="600" t="s">
        <v>341</v>
      </c>
      <c r="L10" s="601" t="s">
        <v>342</v>
      </c>
      <c r="M10" s="601" t="s">
        <v>343</v>
      </c>
      <c r="N10" s="601" t="s">
        <v>344</v>
      </c>
      <c r="O10" s="601" t="s">
        <v>345</v>
      </c>
      <c r="P10" s="602" t="s">
        <v>342</v>
      </c>
    </row>
    <row r="11" spans="2:17" x14ac:dyDescent="0.2">
      <c r="B11" s="603" t="s">
        <v>395</v>
      </c>
      <c r="C11" s="604">
        <v>9163</v>
      </c>
      <c r="D11" s="605">
        <v>113</v>
      </c>
      <c r="E11" s="606">
        <f>18.597625*80</f>
        <v>1487.81</v>
      </c>
      <c r="F11" s="606">
        <f>29.52*80</f>
        <v>2361.6</v>
      </c>
      <c r="G11" s="607">
        <f t="shared" ref="G11:G21" si="0">D11*E11*26.1</f>
        <v>4387998.0329999998</v>
      </c>
      <c r="H11" s="607">
        <f t="shared" ref="H11:H21" si="1">D11*F11*26.1</f>
        <v>6965066.8799999999</v>
      </c>
      <c r="I11" s="493"/>
      <c r="J11" s="494" t="s">
        <v>85</v>
      </c>
      <c r="K11" s="608">
        <v>253</v>
      </c>
      <c r="L11" s="581">
        <f>6510.98+4666.12+1725.78</f>
        <v>12902.88</v>
      </c>
      <c r="M11" s="609">
        <f>0.165+0.062+0.0145+0.075+0.003</f>
        <v>0.31950000000000001</v>
      </c>
      <c r="N11" s="581">
        <f>G11*M11</f>
        <v>1401965.3715434999</v>
      </c>
      <c r="O11" s="581">
        <f>H11*M11</f>
        <v>2225338.8681600001</v>
      </c>
      <c r="P11" s="610">
        <f>D11*L11</f>
        <v>1458025.44</v>
      </c>
      <c r="Q11" s="611" t="s">
        <v>346</v>
      </c>
    </row>
    <row r="12" spans="2:17" x14ac:dyDescent="0.2">
      <c r="B12" s="612" t="s">
        <v>396</v>
      </c>
      <c r="C12" s="613">
        <v>7312</v>
      </c>
      <c r="D12" s="614">
        <v>231</v>
      </c>
      <c r="E12" s="544">
        <f>E11*0.8</f>
        <v>1190.248</v>
      </c>
      <c r="F12" s="544">
        <f>F11*0.8</f>
        <v>1889.28</v>
      </c>
      <c r="G12" s="544">
        <f t="shared" si="0"/>
        <v>7176124.2168000005</v>
      </c>
      <c r="H12" s="544">
        <f t="shared" si="1"/>
        <v>11390658.048</v>
      </c>
      <c r="I12" s="459"/>
      <c r="J12" s="615" t="s">
        <v>85</v>
      </c>
      <c r="K12" s="615">
        <v>253</v>
      </c>
      <c r="L12" s="581">
        <f>L11</f>
        <v>12902.88</v>
      </c>
      <c r="M12" s="609">
        <f>M11</f>
        <v>0.31950000000000001</v>
      </c>
      <c r="N12" s="581">
        <f t="shared" ref="N12:N21" si="2">G12*M12</f>
        <v>2292771.6872676001</v>
      </c>
      <c r="O12" s="581">
        <f t="shared" ref="O12:O21" si="3">H12*M12</f>
        <v>3639315.246336</v>
      </c>
      <c r="P12" s="610">
        <f t="shared" ref="P12:P21" si="4">D12*L12</f>
        <v>2980565.28</v>
      </c>
      <c r="Q12" s="611" t="s">
        <v>85</v>
      </c>
    </row>
    <row r="13" spans="2:17" x14ac:dyDescent="0.2">
      <c r="B13" s="612" t="s">
        <v>397</v>
      </c>
      <c r="C13" s="613">
        <v>7382</v>
      </c>
      <c r="D13" s="614">
        <v>2</v>
      </c>
      <c r="E13" s="544">
        <f>42.0008620689655*80</f>
        <v>3360.06896551724</v>
      </c>
      <c r="F13" s="544">
        <f>42.0008620689655*80</f>
        <v>3360.06896551724</v>
      </c>
      <c r="G13" s="544">
        <f t="shared" si="0"/>
        <v>175395.59999999995</v>
      </c>
      <c r="H13" s="544">
        <f t="shared" si="1"/>
        <v>175395.59999999995</v>
      </c>
      <c r="I13" s="459"/>
      <c r="J13" s="615" t="s">
        <v>85</v>
      </c>
      <c r="K13" s="615">
        <v>130</v>
      </c>
      <c r="L13" s="581">
        <f>6484.79+6053.65+1725.78</f>
        <v>14264.22</v>
      </c>
      <c r="M13" s="609">
        <f>0.165+0.062+0.0145+0.003</f>
        <v>0.24450000000000002</v>
      </c>
      <c r="N13" s="581">
        <f t="shared" si="2"/>
        <v>42884.22419999999</v>
      </c>
      <c r="O13" s="581">
        <f t="shared" si="3"/>
        <v>42884.22419999999</v>
      </c>
      <c r="P13" s="610">
        <f t="shared" si="4"/>
        <v>28528.44</v>
      </c>
      <c r="Q13" s="611" t="s">
        <v>347</v>
      </c>
    </row>
    <row r="14" spans="2:17" x14ac:dyDescent="0.2">
      <c r="B14" s="612" t="s">
        <v>398</v>
      </c>
      <c r="C14" s="616">
        <v>7381</v>
      </c>
      <c r="D14" s="502">
        <v>12</v>
      </c>
      <c r="E14" s="503">
        <f>34.8576149425287*80</f>
        <v>2788.6091954022959</v>
      </c>
      <c r="F14" s="503">
        <f>34.8576149425287*80</f>
        <v>2788.6091954022959</v>
      </c>
      <c r="G14" s="544">
        <f t="shared" si="0"/>
        <v>873392.39999999909</v>
      </c>
      <c r="H14" s="544">
        <f t="shared" si="1"/>
        <v>873392.39999999909</v>
      </c>
      <c r="I14" s="459"/>
      <c r="J14" s="615" t="s">
        <v>85</v>
      </c>
      <c r="K14" s="615">
        <v>130</v>
      </c>
      <c r="L14" s="581">
        <f>L13</f>
        <v>14264.22</v>
      </c>
      <c r="M14" s="609">
        <f>M13</f>
        <v>0.24450000000000002</v>
      </c>
      <c r="N14" s="581">
        <f>G14*M14</f>
        <v>213544.4417999998</v>
      </c>
      <c r="O14" s="581">
        <f t="shared" si="3"/>
        <v>213544.4417999998</v>
      </c>
      <c r="P14" s="610">
        <f t="shared" si="4"/>
        <v>171170.63999999998</v>
      </c>
      <c r="Q14" s="611" t="s">
        <v>348</v>
      </c>
    </row>
    <row r="15" spans="2:17" x14ac:dyDescent="0.2">
      <c r="B15" s="612" t="s">
        <v>399</v>
      </c>
      <c r="C15" s="616">
        <v>7410</v>
      </c>
      <c r="D15" s="502">
        <v>8</v>
      </c>
      <c r="E15" s="503">
        <f>23.2662356321839*80</f>
        <v>1861.2988505747121</v>
      </c>
      <c r="F15" s="503">
        <f>28.2748563218391*80</f>
        <v>2261.9885057471279</v>
      </c>
      <c r="G15" s="544">
        <f t="shared" si="0"/>
        <v>388639.1999999999</v>
      </c>
      <c r="H15" s="544">
        <f t="shared" si="1"/>
        <v>472303.2000000003</v>
      </c>
      <c r="I15" s="459"/>
      <c r="J15" s="615" t="s">
        <v>85</v>
      </c>
      <c r="K15" s="615">
        <v>252</v>
      </c>
      <c r="L15" s="581">
        <f>6078.24+4520.24+1583.28</f>
        <v>12181.76</v>
      </c>
      <c r="M15" s="609">
        <f>0.002+0.0064+0.165+0.062+0.0145</f>
        <v>0.24990000000000001</v>
      </c>
      <c r="N15" s="581">
        <f t="shared" si="2"/>
        <v>97120.936079999985</v>
      </c>
      <c r="O15" s="581">
        <f t="shared" si="3"/>
        <v>118028.56968000009</v>
      </c>
      <c r="P15" s="610">
        <f t="shared" si="4"/>
        <v>97454.080000000002</v>
      </c>
      <c r="Q15" s="611"/>
    </row>
    <row r="16" spans="2:17" x14ac:dyDescent="0.2">
      <c r="B16" s="612" t="s">
        <v>400</v>
      </c>
      <c r="C16" s="616">
        <v>9102</v>
      </c>
      <c r="D16" s="502">
        <v>7</v>
      </c>
      <c r="E16" s="503">
        <f>23.6195528522211*80</f>
        <v>1889.5642281776882</v>
      </c>
      <c r="F16" s="503">
        <f>28.7074542821428*80</f>
        <v>2296.596342571424</v>
      </c>
      <c r="G16" s="544">
        <f t="shared" si="0"/>
        <v>345223.38448806363</v>
      </c>
      <c r="H16" s="544">
        <f t="shared" si="1"/>
        <v>419588.1517877992</v>
      </c>
      <c r="I16" s="459"/>
      <c r="J16" s="615" t="s">
        <v>85</v>
      </c>
      <c r="K16" s="615">
        <v>790</v>
      </c>
      <c r="L16" s="581">
        <f>6729.9+4385.78+1725.78</f>
        <v>12841.460000000001</v>
      </c>
      <c r="M16" s="609">
        <f>0.165+0.062+0.0145+0.003+0.0064</f>
        <v>0.25090000000000001</v>
      </c>
      <c r="N16" s="581">
        <f t="shared" si="2"/>
        <v>86616.547168055171</v>
      </c>
      <c r="O16" s="581">
        <f t="shared" si="3"/>
        <v>105274.66728355883</v>
      </c>
      <c r="P16" s="610">
        <f t="shared" si="4"/>
        <v>89890.22</v>
      </c>
      <c r="Q16" s="611"/>
    </row>
    <row r="17" spans="2:17" x14ac:dyDescent="0.2">
      <c r="B17" s="612" t="s">
        <v>401</v>
      </c>
      <c r="C17" s="616">
        <v>9141</v>
      </c>
      <c r="D17" s="502">
        <v>2</v>
      </c>
      <c r="E17" s="503">
        <f>46.425*80</f>
        <v>3714</v>
      </c>
      <c r="F17" s="503">
        <f>56.425*80</f>
        <v>4514</v>
      </c>
      <c r="G17" s="544">
        <f t="shared" si="0"/>
        <v>193870.80000000002</v>
      </c>
      <c r="H17" s="544">
        <f t="shared" si="1"/>
        <v>235630.80000000002</v>
      </c>
      <c r="I17" s="459"/>
      <c r="J17" s="615" t="s">
        <v>85</v>
      </c>
      <c r="K17" s="615">
        <v>200</v>
      </c>
      <c r="L17" s="581">
        <f>6698.9+5189.94+1725.78</f>
        <v>13614.62</v>
      </c>
      <c r="M17" s="609">
        <f>0.165+0.062+0.0145+0.0064+0.003</f>
        <v>0.25090000000000001</v>
      </c>
      <c r="N17" s="581">
        <f t="shared" si="2"/>
        <v>48642.183720000008</v>
      </c>
      <c r="O17" s="581">
        <f t="shared" si="3"/>
        <v>59119.767720000011</v>
      </c>
      <c r="P17" s="610">
        <f t="shared" si="4"/>
        <v>27229.24</v>
      </c>
      <c r="Q17" s="611"/>
    </row>
    <row r="18" spans="2:17" x14ac:dyDescent="0.2">
      <c r="B18" s="612" t="s">
        <v>402</v>
      </c>
      <c r="C18" s="616">
        <v>9140</v>
      </c>
      <c r="D18" s="502">
        <v>4</v>
      </c>
      <c r="E18" s="503">
        <f>41.1125*80</f>
        <v>3289</v>
      </c>
      <c r="F18" s="503">
        <f>49.975*80</f>
        <v>3998</v>
      </c>
      <c r="G18" s="544">
        <f t="shared" si="0"/>
        <v>343371.60000000003</v>
      </c>
      <c r="H18" s="544">
        <f t="shared" si="1"/>
        <v>417391.2</v>
      </c>
      <c r="I18" s="459"/>
      <c r="J18" s="615" t="s">
        <v>85</v>
      </c>
      <c r="K18" s="615">
        <v>200</v>
      </c>
      <c r="L18" s="581">
        <f>L17</f>
        <v>13614.62</v>
      </c>
      <c r="M18" s="609">
        <f>M17</f>
        <v>0.25090000000000001</v>
      </c>
      <c r="N18" s="581">
        <f t="shared" si="2"/>
        <v>86151.934440000012</v>
      </c>
      <c r="O18" s="581">
        <f t="shared" si="3"/>
        <v>104723.45208</v>
      </c>
      <c r="P18" s="610">
        <f t="shared" si="4"/>
        <v>54458.48</v>
      </c>
      <c r="Q18" s="611"/>
    </row>
    <row r="19" spans="2:17" x14ac:dyDescent="0.2">
      <c r="B19" s="612" t="s">
        <v>403</v>
      </c>
      <c r="C19" s="616">
        <v>9139</v>
      </c>
      <c r="D19" s="502">
        <v>14</v>
      </c>
      <c r="E19" s="503">
        <f>34.825*80</f>
        <v>2786</v>
      </c>
      <c r="F19" s="503">
        <f>42.3375*80</f>
        <v>3387</v>
      </c>
      <c r="G19" s="544">
        <f t="shared" si="0"/>
        <v>1018004.4</v>
      </c>
      <c r="H19" s="544">
        <f t="shared" si="1"/>
        <v>1237609.8</v>
      </c>
      <c r="I19" s="459"/>
      <c r="J19" s="615" t="s">
        <v>85</v>
      </c>
      <c r="K19" s="615">
        <v>200</v>
      </c>
      <c r="L19" s="581">
        <f>L17</f>
        <v>13614.62</v>
      </c>
      <c r="M19" s="609">
        <f>M17</f>
        <v>0.25090000000000001</v>
      </c>
      <c r="N19" s="581">
        <f t="shared" si="2"/>
        <v>255417.30396000002</v>
      </c>
      <c r="O19" s="581">
        <f t="shared" si="3"/>
        <v>310516.29882000003</v>
      </c>
      <c r="P19" s="610">
        <f t="shared" si="4"/>
        <v>190604.68000000002</v>
      </c>
      <c r="Q19" s="611"/>
    </row>
    <row r="20" spans="2:17" x14ac:dyDescent="0.2">
      <c r="B20" s="612" t="s">
        <v>404</v>
      </c>
      <c r="C20" s="616">
        <v>1426</v>
      </c>
      <c r="D20" s="502">
        <v>6</v>
      </c>
      <c r="E20" s="503">
        <f>21.6534708375255*80</f>
        <v>1732.2776670020401</v>
      </c>
      <c r="F20" s="503">
        <f>26.3029891155218*80</f>
        <v>2104.2391292417442</v>
      </c>
      <c r="G20" s="544">
        <f t="shared" si="0"/>
        <v>271274.68265251949</v>
      </c>
      <c r="H20" s="544">
        <f t="shared" si="1"/>
        <v>329523.84763925715</v>
      </c>
      <c r="I20" s="459"/>
      <c r="J20" s="615" t="s">
        <v>85</v>
      </c>
      <c r="K20" s="615">
        <v>790</v>
      </c>
      <c r="L20" s="581">
        <f>L16</f>
        <v>12841.460000000001</v>
      </c>
      <c r="M20" s="609">
        <f>M16</f>
        <v>0.25090000000000001</v>
      </c>
      <c r="N20" s="581">
        <f t="shared" si="2"/>
        <v>68062.81787751714</v>
      </c>
      <c r="O20" s="581">
        <f t="shared" si="3"/>
        <v>82677.533372689621</v>
      </c>
      <c r="P20" s="610">
        <f t="shared" si="4"/>
        <v>77048.760000000009</v>
      </c>
      <c r="Q20" s="611"/>
    </row>
    <row r="21" spans="2:17" x14ac:dyDescent="0.2">
      <c r="B21" s="612" t="s">
        <v>405</v>
      </c>
      <c r="C21" s="616">
        <v>2905</v>
      </c>
      <c r="D21" s="502">
        <v>5</v>
      </c>
      <c r="E21" s="503">
        <f>27.0070590261898*80</f>
        <v>2160.5647220951842</v>
      </c>
      <c r="F21" s="503">
        <f>32.8388833805909*80</f>
        <v>2627.1106704472722</v>
      </c>
      <c r="G21" s="544">
        <f t="shared" si="0"/>
        <v>281953.69623342151</v>
      </c>
      <c r="H21" s="544">
        <f t="shared" si="1"/>
        <v>342837.94249336905</v>
      </c>
      <c r="I21" s="459"/>
      <c r="J21" s="615" t="s">
        <v>85</v>
      </c>
      <c r="K21" s="615">
        <v>535</v>
      </c>
      <c r="L21" s="581">
        <f>6666.83+4588.69+1725.78</f>
        <v>12981.300000000001</v>
      </c>
      <c r="M21" s="609">
        <f>0.003+0.0064+0.165+0.062+0.0145</f>
        <v>0.25090000000000001</v>
      </c>
      <c r="N21" s="581">
        <f t="shared" si="2"/>
        <v>70742.182384965461</v>
      </c>
      <c r="O21" s="581">
        <f t="shared" si="3"/>
        <v>86018.039771586293</v>
      </c>
      <c r="P21" s="610">
        <f t="shared" si="4"/>
        <v>64906.500000000007</v>
      </c>
      <c r="Q21" s="611"/>
    </row>
    <row r="22" spans="2:17" ht="6" customHeight="1" x14ac:dyDescent="0.2">
      <c r="B22" s="457"/>
      <c r="C22" s="617"/>
      <c r="D22" s="618"/>
      <c r="E22" s="458"/>
      <c r="F22" s="458"/>
      <c r="G22" s="459"/>
      <c r="H22" s="459"/>
      <c r="I22" s="459"/>
      <c r="J22" s="619"/>
      <c r="K22" s="620"/>
      <c r="L22" s="581"/>
      <c r="M22" s="609"/>
      <c r="N22" s="581"/>
      <c r="O22" s="581"/>
      <c r="P22" s="610"/>
    </row>
    <row r="23" spans="2:17" x14ac:dyDescent="0.2">
      <c r="B23" s="621" t="s">
        <v>406</v>
      </c>
      <c r="C23" s="514"/>
      <c r="D23" s="515"/>
      <c r="E23" s="503"/>
      <c r="F23" s="503"/>
      <c r="G23" s="544">
        <f>SUM(G13:G21)/260*11*1.5*0.5</f>
        <v>123468.41364552126</v>
      </c>
      <c r="H23" s="544">
        <f>SUM(H13:H21)/260*11*1.5*0.5</f>
        <v>142905.00681093655</v>
      </c>
      <c r="I23" s="459"/>
      <c r="J23" s="622" t="s">
        <v>350</v>
      </c>
      <c r="K23" s="620"/>
      <c r="L23" s="623" t="s">
        <v>350</v>
      </c>
      <c r="M23" s="609">
        <f>0.0765+0.003</f>
        <v>7.9500000000000001E-2</v>
      </c>
      <c r="N23" s="581">
        <f>G23*M23</f>
        <v>9815.7388848189403</v>
      </c>
      <c r="O23" s="581">
        <f>H23*M23</f>
        <v>11360.948041469455</v>
      </c>
      <c r="P23" s="624" t="s">
        <v>350</v>
      </c>
    </row>
    <row r="24" spans="2:17" x14ac:dyDescent="0.2">
      <c r="B24" s="621" t="s">
        <v>407</v>
      </c>
      <c r="C24" s="514"/>
      <c r="D24" s="515"/>
      <c r="E24" s="503"/>
      <c r="F24" s="503"/>
      <c r="G24" s="544">
        <f>SUM(G13:G21)*0.085*0.333</f>
        <v>110138.31473230119</v>
      </c>
      <c r="H24" s="544">
        <f>SUM(H13:H21)*0.085*0.333</f>
        <v>127476.46262105764</v>
      </c>
      <c r="I24" s="459"/>
      <c r="J24" s="622" t="s">
        <v>350</v>
      </c>
      <c r="K24" s="620"/>
      <c r="L24" s="623" t="s">
        <v>350</v>
      </c>
      <c r="M24" s="609">
        <f>0.0765+0.003</f>
        <v>7.9500000000000001E-2</v>
      </c>
      <c r="N24" s="581">
        <f>G24*M24</f>
        <v>8755.9960212179449</v>
      </c>
      <c r="O24" s="581">
        <f>H24*M24</f>
        <v>10134.378778374083</v>
      </c>
      <c r="P24" s="625" t="s">
        <v>350</v>
      </c>
    </row>
    <row r="25" spans="2:17" ht="12.75" customHeight="1" x14ac:dyDescent="0.2">
      <c r="B25" s="626" t="s">
        <v>354</v>
      </c>
      <c r="C25" s="469"/>
      <c r="D25" s="627">
        <f>SUM(D11:D21)</f>
        <v>404</v>
      </c>
      <c r="E25" s="538" t="s">
        <v>355</v>
      </c>
      <c r="F25" s="454"/>
      <c r="G25" s="628">
        <f>SUM(G11:G24)</f>
        <v>15688854.741551826</v>
      </c>
      <c r="H25" s="628">
        <f>SUM(H11:H24)</f>
        <v>23129779.339352421</v>
      </c>
      <c r="I25" s="533"/>
      <c r="J25" s="629"/>
      <c r="K25" s="630"/>
      <c r="L25" s="631"/>
      <c r="M25" s="631"/>
      <c r="N25" s="535">
        <f>SUM(N11:N24)</f>
        <v>4682491.3653476741</v>
      </c>
      <c r="O25" s="535">
        <f>SUM(O11:O24)</f>
        <v>7008936.4360436797</v>
      </c>
      <c r="P25" s="532">
        <f>SUM(P11:P24)</f>
        <v>5239881.76</v>
      </c>
    </row>
    <row r="26" spans="2:17" ht="12.75" customHeight="1" x14ac:dyDescent="0.2">
      <c r="B26" s="469"/>
      <c r="C26" s="469"/>
      <c r="D26" s="536"/>
      <c r="E26" s="469"/>
      <c r="F26" s="469"/>
      <c r="G26" s="469"/>
      <c r="H26" s="469"/>
      <c r="I26" s="469"/>
      <c r="J26" s="632"/>
    </row>
    <row r="27" spans="2:17" x14ac:dyDescent="0.2">
      <c r="B27" s="538" t="s">
        <v>356</v>
      </c>
      <c r="C27" s="454"/>
      <c r="D27" s="539" t="s">
        <v>355</v>
      </c>
      <c r="E27" s="454"/>
      <c r="F27" s="454"/>
      <c r="G27" s="454"/>
      <c r="H27" s="454"/>
      <c r="I27" s="454"/>
      <c r="J27" s="632"/>
    </row>
    <row r="28" spans="2:17" x14ac:dyDescent="0.2">
      <c r="B28" s="540" t="s">
        <v>408</v>
      </c>
      <c r="C28" s="541" t="s">
        <v>355</v>
      </c>
      <c r="D28" s="542" t="s">
        <v>355</v>
      </c>
      <c r="E28" s="543" t="s">
        <v>355</v>
      </c>
      <c r="F28" s="541"/>
      <c r="G28" s="544">
        <f>N25</f>
        <v>4682491.3653476741</v>
      </c>
      <c r="H28" s="544">
        <f>O25</f>
        <v>7008936.4360436797</v>
      </c>
      <c r="I28" s="459"/>
    </row>
    <row r="29" spans="2:17" x14ac:dyDescent="0.2">
      <c r="B29" s="543" t="s">
        <v>409</v>
      </c>
      <c r="C29" s="543" t="s">
        <v>355</v>
      </c>
      <c r="D29" s="542" t="s">
        <v>355</v>
      </c>
      <c r="E29" s="543" t="s">
        <v>355</v>
      </c>
      <c r="F29" s="541"/>
      <c r="G29" s="544">
        <f>P25</f>
        <v>5239881.76</v>
      </c>
      <c r="H29" s="544">
        <f>P25</f>
        <v>5239881.76</v>
      </c>
      <c r="I29" s="459"/>
    </row>
    <row r="30" spans="2:17" x14ac:dyDescent="0.2">
      <c r="B30" s="633" t="s">
        <v>318</v>
      </c>
      <c r="C30" s="454"/>
      <c r="D30" s="548"/>
      <c r="E30" s="454"/>
      <c r="F30" s="454"/>
      <c r="G30" s="628">
        <f>G28+G29</f>
        <v>9922373.1253476739</v>
      </c>
      <c r="H30" s="628">
        <f>H28+H29</f>
        <v>12248818.196043679</v>
      </c>
      <c r="I30" s="533"/>
    </row>
    <row r="31" spans="2:17" ht="12.75" customHeight="1" x14ac:dyDescent="0.2">
      <c r="B31" s="454"/>
      <c r="C31" s="454"/>
      <c r="D31" s="548"/>
      <c r="E31" s="454"/>
      <c r="F31" s="454"/>
      <c r="G31" s="454"/>
      <c r="H31" s="454"/>
      <c r="I31" s="454"/>
    </row>
    <row r="32" spans="2:17" x14ac:dyDescent="0.2">
      <c r="B32" s="634" t="s">
        <v>410</v>
      </c>
      <c r="C32" s="469"/>
      <c r="D32" s="536"/>
      <c r="E32" s="454"/>
      <c r="F32" s="454"/>
      <c r="G32" s="469"/>
      <c r="H32" s="469"/>
      <c r="I32" s="469"/>
    </row>
    <row r="33" spans="2:16" x14ac:dyDescent="0.2">
      <c r="B33" s="1172" t="s">
        <v>411</v>
      </c>
      <c r="C33" s="1172"/>
      <c r="D33" s="1172"/>
      <c r="E33" s="1172"/>
      <c r="F33" s="1172"/>
      <c r="G33" s="551">
        <v>1648574.9535211266</v>
      </c>
      <c r="H33" s="551">
        <f>G33</f>
        <v>1648574.9535211266</v>
      </c>
      <c r="I33" s="469"/>
    </row>
    <row r="34" spans="2:16" x14ac:dyDescent="0.2">
      <c r="B34" s="1172" t="s">
        <v>412</v>
      </c>
      <c r="C34" s="1172"/>
      <c r="D34" s="1172"/>
      <c r="E34" s="1172"/>
      <c r="F34" s="1172"/>
      <c r="G34" s="551">
        <v>1916468.3834683097</v>
      </c>
      <c r="H34" s="551">
        <f>G34</f>
        <v>1916468.3834683097</v>
      </c>
      <c r="I34" s="469"/>
    </row>
    <row r="35" spans="2:16" x14ac:dyDescent="0.2">
      <c r="B35" s="1172" t="s">
        <v>413</v>
      </c>
      <c r="C35" s="1172"/>
      <c r="D35" s="1172"/>
      <c r="E35" s="1172"/>
      <c r="F35" s="1172"/>
      <c r="G35" s="551">
        <f>364*1375</f>
        <v>500500</v>
      </c>
      <c r="H35" s="551">
        <f>G35</f>
        <v>500500</v>
      </c>
      <c r="I35" s="469"/>
    </row>
    <row r="36" spans="2:16" x14ac:dyDescent="0.2">
      <c r="B36" s="1172" t="s">
        <v>414</v>
      </c>
      <c r="C36" s="1172"/>
      <c r="D36" s="1172"/>
      <c r="E36" s="1172"/>
      <c r="F36" s="1172"/>
      <c r="G36" s="552">
        <v>876834</v>
      </c>
      <c r="H36" s="552">
        <f>G36</f>
        <v>876834</v>
      </c>
      <c r="I36" s="469"/>
    </row>
    <row r="37" spans="2:16" x14ac:dyDescent="0.2">
      <c r="B37" s="626" t="s">
        <v>360</v>
      </c>
      <c r="C37" s="469"/>
      <c r="D37" s="548"/>
      <c r="E37" s="454"/>
      <c r="F37" s="454"/>
      <c r="G37" s="557">
        <f>SUM(G33:G36)</f>
        <v>4942377.3369894363</v>
      </c>
      <c r="H37" s="557">
        <f>SUM(H33:H36)</f>
        <v>4942377.3369894363</v>
      </c>
      <c r="I37" s="555"/>
    </row>
    <row r="38" spans="2:16" x14ac:dyDescent="0.2">
      <c r="B38" s="454"/>
      <c r="C38" s="469"/>
      <c r="D38" s="548"/>
      <c r="E38" s="454"/>
      <c r="F38" s="454"/>
      <c r="G38" s="454"/>
      <c r="H38" s="454"/>
      <c r="I38" s="454"/>
    </row>
    <row r="39" spans="2:16" x14ac:dyDescent="0.2">
      <c r="B39" s="556" t="s">
        <v>361</v>
      </c>
      <c r="C39" s="454"/>
      <c r="D39" s="548"/>
      <c r="E39" s="454"/>
      <c r="F39" s="454"/>
      <c r="G39" s="557">
        <f>G25+G30+G37</f>
        <v>30553605.203888934</v>
      </c>
      <c r="H39" s="557">
        <f>H25+H30+H37</f>
        <v>40320974.872385532</v>
      </c>
      <c r="I39" s="555"/>
    </row>
    <row r="40" spans="2:16" x14ac:dyDescent="0.2">
      <c r="B40" s="454"/>
      <c r="C40" s="454"/>
      <c r="D40" s="548"/>
      <c r="E40" s="454"/>
      <c r="F40" s="454"/>
      <c r="G40" s="454"/>
      <c r="H40" s="454"/>
      <c r="I40" s="454"/>
    </row>
    <row r="41" spans="2:16" x14ac:dyDescent="0.2">
      <c r="B41" s="556" t="s">
        <v>415</v>
      </c>
      <c r="C41" s="469"/>
      <c r="D41" s="536"/>
      <c r="E41" s="469"/>
      <c r="F41" s="469"/>
      <c r="G41" s="635">
        <f>-SUM('[14]Contract Cost Detail'!F5,'[14]Contract Cost Detail'!P10:P11,'[14]Contract Cost Detail'!P15:P16)</f>
        <v>-20709088.577607352</v>
      </c>
      <c r="H41" s="636">
        <f>-SUM('[14]Contract Cost Detail'!G5,'[14]Contract Cost Detail'!Q10:Q11,'[14]Contract Cost Detail'!Q15:Q16)</f>
        <v>-20716375.256568339</v>
      </c>
      <c r="I41" s="560"/>
    </row>
    <row r="42" spans="2:16" x14ac:dyDescent="0.2">
      <c r="B42" s="454"/>
      <c r="C42" s="454"/>
      <c r="D42" s="548"/>
      <c r="E42" s="454"/>
      <c r="F42" s="454"/>
      <c r="G42" s="561"/>
      <c r="H42" s="561"/>
      <c r="I42" s="458"/>
    </row>
    <row r="43" spans="2:16" ht="13.5" thickBot="1" x14ac:dyDescent="0.25">
      <c r="B43" s="562" t="s">
        <v>363</v>
      </c>
      <c r="C43" s="454"/>
      <c r="D43" s="548"/>
      <c r="E43" s="454"/>
      <c r="F43" s="454"/>
      <c r="G43" s="563">
        <f>G39+G41</f>
        <v>9844516.6262815818</v>
      </c>
      <c r="H43" s="563">
        <f>H39+H41</f>
        <v>19604599.615817193</v>
      </c>
      <c r="I43" s="564"/>
    </row>
    <row r="44" spans="2:16" ht="13.5" thickTop="1" x14ac:dyDescent="0.2">
      <c r="B44" s="565" t="s">
        <v>364</v>
      </c>
      <c r="G44" s="566">
        <f>G43/G39</f>
        <v>0.32220474672588062</v>
      </c>
      <c r="H44" s="566">
        <f>H43/H39</f>
        <v>0.48621343302995679</v>
      </c>
      <c r="I44" s="567"/>
    </row>
    <row r="45" spans="2:16" x14ac:dyDescent="0.2">
      <c r="G45" s="637"/>
      <c r="H45" s="637"/>
      <c r="I45" s="637"/>
    </row>
    <row r="46" spans="2:16" x14ac:dyDescent="0.2">
      <c r="B46" s="638" t="s">
        <v>365</v>
      </c>
      <c r="D46" s="639" t="s">
        <v>355</v>
      </c>
    </row>
    <row r="47" spans="2:16" x14ac:dyDescent="0.2">
      <c r="B47" s="1204" t="s">
        <v>416</v>
      </c>
      <c r="C47" s="1204"/>
      <c r="D47" s="1204"/>
      <c r="E47" s="1204"/>
      <c r="F47" s="1204"/>
      <c r="G47" s="1204"/>
      <c r="H47" s="1204"/>
      <c r="I47" s="571"/>
      <c r="J47" s="571"/>
      <c r="K47" s="571"/>
      <c r="L47" s="571"/>
      <c r="M47" s="571"/>
      <c r="N47" s="571"/>
      <c r="O47" s="571"/>
      <c r="P47" s="571"/>
    </row>
    <row r="48" spans="2:16" ht="27" customHeight="1" x14ac:dyDescent="0.25">
      <c r="B48" s="1168" t="s">
        <v>417</v>
      </c>
      <c r="C48" s="1169"/>
      <c r="D48" s="1169"/>
      <c r="E48" s="1169"/>
      <c r="F48" s="1169"/>
      <c r="G48" s="1169"/>
      <c r="H48" s="1169"/>
      <c r="I48" s="571"/>
      <c r="J48" s="571"/>
      <c r="K48" s="571"/>
      <c r="L48" s="571"/>
      <c r="M48" s="571"/>
      <c r="N48" s="571"/>
      <c r="O48" s="571"/>
      <c r="P48" s="571"/>
    </row>
    <row r="49" spans="2:16" ht="27" customHeight="1" x14ac:dyDescent="0.2">
      <c r="B49" s="1170" t="s">
        <v>367</v>
      </c>
      <c r="C49" s="1170"/>
      <c r="D49" s="1170"/>
      <c r="E49" s="1170"/>
      <c r="F49" s="1170"/>
      <c r="G49" s="1170"/>
      <c r="H49" s="1170"/>
      <c r="I49" s="571"/>
      <c r="J49" s="571"/>
      <c r="K49" s="571"/>
      <c r="L49" s="571"/>
      <c r="M49" s="571"/>
      <c r="N49" s="571"/>
      <c r="O49" s="571"/>
      <c r="P49" s="571"/>
    </row>
    <row r="50" spans="2:16" x14ac:dyDescent="0.2">
      <c r="B50" s="594" t="s">
        <v>368</v>
      </c>
      <c r="C50" s="571"/>
      <c r="D50" s="571"/>
      <c r="E50" s="571"/>
      <c r="F50" s="571"/>
      <c r="G50" s="571"/>
      <c r="H50" s="571"/>
      <c r="I50" s="571"/>
      <c r="J50" s="571"/>
      <c r="K50" s="571"/>
      <c r="L50" s="571"/>
      <c r="M50" s="571"/>
      <c r="N50" s="571"/>
      <c r="O50" s="571"/>
      <c r="P50" s="571"/>
    </row>
    <row r="51" spans="2:16" ht="27.75" customHeight="1" x14ac:dyDescent="0.2">
      <c r="B51" s="1204" t="s">
        <v>418</v>
      </c>
      <c r="C51" s="1204"/>
      <c r="D51" s="1204"/>
      <c r="E51" s="1204"/>
      <c r="F51" s="1204"/>
      <c r="G51" s="1204"/>
      <c r="H51" s="1204"/>
      <c r="I51" s="571"/>
      <c r="J51" s="571"/>
      <c r="K51" s="571"/>
      <c r="L51" s="571"/>
      <c r="M51" s="571"/>
      <c r="N51" s="571"/>
      <c r="O51" s="571"/>
      <c r="P51" s="571"/>
    </row>
    <row r="52" spans="2:16" x14ac:dyDescent="0.2">
      <c r="B52" s="572" t="s">
        <v>419</v>
      </c>
      <c r="C52" s="572"/>
      <c r="D52" s="572"/>
      <c r="E52" s="572"/>
      <c r="F52" s="572"/>
      <c r="G52" s="572"/>
      <c r="H52" s="572"/>
    </row>
    <row r="53" spans="2:16" ht="27" customHeight="1" x14ac:dyDescent="0.2">
      <c r="B53" s="1205" t="s">
        <v>420</v>
      </c>
      <c r="C53" s="1205"/>
      <c r="D53" s="1205"/>
      <c r="E53" s="1205"/>
      <c r="F53" s="1205"/>
      <c r="G53" s="1205"/>
      <c r="H53" s="1205"/>
    </row>
    <row r="54" spans="2:16" x14ac:dyDescent="0.2">
      <c r="B54" s="640"/>
    </row>
  </sheetData>
  <mergeCells count="9">
    <mergeCell ref="B49:H49"/>
    <mergeCell ref="B51:H51"/>
    <mergeCell ref="B53:H53"/>
    <mergeCell ref="B33:F33"/>
    <mergeCell ref="B34:F34"/>
    <mergeCell ref="B35:F35"/>
    <mergeCell ref="B36:F36"/>
    <mergeCell ref="B47:H47"/>
    <mergeCell ref="B48:H48"/>
  </mergeCells>
  <dataValidations count="1">
    <dataValidation type="list" allowBlank="1" showInputMessage="1" showErrorMessage="1" error="Please enter either an S or a C." sqref="J11:J21">
      <formula1>$Q$11:$Q$12</formula1>
    </dataValidation>
  </dataValidations>
  <pageMargins left="0.33" right="0.26" top="0.51" bottom="0.49" header="0.35" footer="0.35"/>
  <pageSetup scale="97"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77"/>
  <sheetViews>
    <sheetView zoomScale="120" zoomScaleNormal="120" workbookViewId="0">
      <selection activeCell="H35" sqref="H35"/>
    </sheetView>
  </sheetViews>
  <sheetFormatPr defaultColWidth="9.140625" defaultRowHeight="15.75" x14ac:dyDescent="0.25"/>
  <cols>
    <col min="1" max="1" width="5.28515625" style="794" customWidth="1"/>
    <col min="2" max="2" width="10.28515625" style="794" bestFit="1" customWidth="1"/>
    <col min="3" max="3" width="11.28515625" style="794" bestFit="1" customWidth="1"/>
    <col min="4" max="4" width="49.140625" style="794" customWidth="1"/>
    <col min="5" max="5" width="21.140625" style="794" bestFit="1" customWidth="1"/>
    <col min="6" max="6" width="20.28515625" style="794" bestFit="1" customWidth="1"/>
    <col min="7" max="7" width="9.140625" style="794"/>
    <col min="8" max="11" width="21.28515625" style="794" customWidth="1"/>
    <col min="12" max="16384" width="9.140625" style="794"/>
  </cols>
  <sheetData>
    <row r="1" spans="2:11" ht="16.5" thickBot="1" x14ac:dyDescent="0.3">
      <c r="B1" s="819" t="s">
        <v>573</v>
      </c>
      <c r="C1" s="820" t="s">
        <v>574</v>
      </c>
      <c r="D1" s="820" t="s">
        <v>575</v>
      </c>
      <c r="E1" s="821" t="s">
        <v>576</v>
      </c>
      <c r="F1" s="822" t="s">
        <v>577</v>
      </c>
      <c r="H1" s="1206" t="s">
        <v>578</v>
      </c>
      <c r="I1" s="1206"/>
      <c r="J1" s="1207" t="s">
        <v>579</v>
      </c>
      <c r="K1" s="1207"/>
    </row>
    <row r="2" spans="2:11" ht="13.5" customHeight="1" thickBot="1" x14ac:dyDescent="0.3">
      <c r="B2" s="818">
        <v>62</v>
      </c>
      <c r="C2" s="823" t="s">
        <v>580</v>
      </c>
      <c r="D2" s="823" t="s">
        <v>581</v>
      </c>
      <c r="E2" s="823" t="s">
        <v>582</v>
      </c>
      <c r="F2" s="823" t="s">
        <v>583</v>
      </c>
      <c r="H2" s="795" t="s">
        <v>584</v>
      </c>
      <c r="I2" s="796" t="s">
        <v>585</v>
      </c>
      <c r="J2" s="796" t="s">
        <v>586</v>
      </c>
      <c r="K2" s="797" t="s">
        <v>587</v>
      </c>
    </row>
    <row r="3" spans="2:11" ht="13.5" customHeight="1" thickBot="1" x14ac:dyDescent="0.3">
      <c r="B3" s="818">
        <v>70</v>
      </c>
      <c r="C3" s="823" t="s">
        <v>588</v>
      </c>
      <c r="D3" s="823" t="s">
        <v>589</v>
      </c>
      <c r="E3" s="823" t="s">
        <v>582</v>
      </c>
      <c r="F3" s="823" t="s">
        <v>583</v>
      </c>
      <c r="H3" s="795" t="s">
        <v>590</v>
      </c>
      <c r="I3" s="796" t="s">
        <v>591</v>
      </c>
      <c r="J3" s="797" t="s">
        <v>592</v>
      </c>
      <c r="K3" s="797" t="s">
        <v>593</v>
      </c>
    </row>
    <row r="4" spans="2:11" ht="13.5" customHeight="1" thickBot="1" x14ac:dyDescent="0.3">
      <c r="B4" s="818">
        <v>72</v>
      </c>
      <c r="C4" s="823" t="s">
        <v>594</v>
      </c>
      <c r="D4" s="823" t="s">
        <v>595</v>
      </c>
      <c r="E4" s="823" t="s">
        <v>582</v>
      </c>
      <c r="F4" s="823" t="s">
        <v>583</v>
      </c>
      <c r="H4" s="795" t="s">
        <v>636</v>
      </c>
      <c r="I4" s="796" t="s">
        <v>637</v>
      </c>
      <c r="J4" s="797" t="s">
        <v>597</v>
      </c>
      <c r="K4" s="797" t="s">
        <v>598</v>
      </c>
    </row>
    <row r="5" spans="2:11" ht="13.5" customHeight="1" thickBot="1" x14ac:dyDescent="0.3">
      <c r="B5" s="818">
        <v>76</v>
      </c>
      <c r="C5" s="823" t="s">
        <v>599</v>
      </c>
      <c r="D5" s="823" t="s">
        <v>600</v>
      </c>
      <c r="E5" s="823" t="s">
        <v>582</v>
      </c>
      <c r="F5" s="823" t="s">
        <v>583</v>
      </c>
      <c r="H5" s="795" t="s">
        <v>607</v>
      </c>
      <c r="I5" s="796" t="s">
        <v>608</v>
      </c>
      <c r="J5" s="797" t="s">
        <v>603</v>
      </c>
      <c r="K5" s="797" t="s">
        <v>604</v>
      </c>
    </row>
    <row r="6" spans="2:11" ht="13.5" customHeight="1" thickBot="1" x14ac:dyDescent="0.3">
      <c r="B6" s="818">
        <v>93</v>
      </c>
      <c r="C6" s="823" t="s">
        <v>605</v>
      </c>
      <c r="D6" s="823" t="s">
        <v>606</v>
      </c>
      <c r="E6" s="823" t="s">
        <v>582</v>
      </c>
      <c r="F6" s="823" t="s">
        <v>583</v>
      </c>
      <c r="H6" s="795" t="s">
        <v>613</v>
      </c>
      <c r="I6" s="796" t="s">
        <v>614</v>
      </c>
      <c r="J6" s="797" t="s">
        <v>609</v>
      </c>
      <c r="K6" s="797" t="s">
        <v>610</v>
      </c>
    </row>
    <row r="7" spans="2:11" ht="13.5" customHeight="1" thickBot="1" x14ac:dyDescent="0.3">
      <c r="B7" s="818">
        <v>74</v>
      </c>
      <c r="C7" s="823" t="s">
        <v>611</v>
      </c>
      <c r="D7" s="823" t="s">
        <v>612</v>
      </c>
      <c r="E7" s="823" t="s">
        <v>582</v>
      </c>
      <c r="F7" s="823" t="s">
        <v>583</v>
      </c>
      <c r="H7" s="795" t="s">
        <v>583</v>
      </c>
      <c r="I7" s="796" t="s">
        <v>596</v>
      </c>
      <c r="J7" s="797" t="s">
        <v>615</v>
      </c>
      <c r="K7" s="797" t="s">
        <v>616</v>
      </c>
    </row>
    <row r="8" spans="2:11" ht="13.5" customHeight="1" thickBot="1" x14ac:dyDescent="0.3">
      <c r="B8" s="818">
        <v>69</v>
      </c>
      <c r="C8" s="823" t="s">
        <v>617</v>
      </c>
      <c r="D8" s="823" t="s">
        <v>618</v>
      </c>
      <c r="E8" s="823" t="s">
        <v>582</v>
      </c>
      <c r="F8" s="823" t="s">
        <v>583</v>
      </c>
      <c r="H8" s="795" t="s">
        <v>601</v>
      </c>
      <c r="I8" s="796" t="s">
        <v>602</v>
      </c>
      <c r="J8" s="797" t="s">
        <v>582</v>
      </c>
      <c r="K8" s="797" t="s">
        <v>621</v>
      </c>
    </row>
    <row r="9" spans="2:11" ht="13.5" customHeight="1" thickBot="1" x14ac:dyDescent="0.3">
      <c r="B9" s="818">
        <v>13</v>
      </c>
      <c r="C9" s="823" t="s">
        <v>622</v>
      </c>
      <c r="D9" s="823" t="s">
        <v>623</v>
      </c>
      <c r="E9" s="823" t="s">
        <v>609</v>
      </c>
      <c r="F9" s="823" t="s">
        <v>583</v>
      </c>
      <c r="H9" s="795" t="s">
        <v>619</v>
      </c>
      <c r="I9" s="796" t="s">
        <v>620</v>
      </c>
      <c r="J9" s="796"/>
      <c r="K9" s="796"/>
    </row>
    <row r="10" spans="2:11" ht="13.5" customHeight="1" thickBot="1" x14ac:dyDescent="0.3">
      <c r="B10" s="818">
        <v>27</v>
      </c>
      <c r="C10" s="823" t="s">
        <v>626</v>
      </c>
      <c r="D10" s="823" t="s">
        <v>627</v>
      </c>
      <c r="E10" s="823" t="s">
        <v>609</v>
      </c>
      <c r="F10" s="823" t="s">
        <v>628</v>
      </c>
      <c r="H10" s="795" t="s">
        <v>624</v>
      </c>
      <c r="I10" s="796" t="s">
        <v>625</v>
      </c>
      <c r="J10" s="796"/>
      <c r="K10" s="796"/>
    </row>
    <row r="11" spans="2:11" ht="13.5" customHeight="1" thickBot="1" x14ac:dyDescent="0.3">
      <c r="B11" s="818">
        <v>28</v>
      </c>
      <c r="C11" s="823" t="s">
        <v>629</v>
      </c>
      <c r="D11" s="823" t="s">
        <v>630</v>
      </c>
      <c r="E11" s="823" t="s">
        <v>631</v>
      </c>
      <c r="F11" s="823" t="s">
        <v>583</v>
      </c>
      <c r="H11" s="795" t="s">
        <v>628</v>
      </c>
      <c r="I11" s="796" t="s">
        <v>758</v>
      </c>
      <c r="J11" s="796"/>
      <c r="K11" s="796"/>
    </row>
    <row r="12" spans="2:11" ht="16.5" thickBot="1" x14ac:dyDescent="0.3">
      <c r="B12" s="818">
        <v>2</v>
      </c>
      <c r="C12" s="823" t="s">
        <v>634</v>
      </c>
      <c r="D12" s="823" t="s">
        <v>635</v>
      </c>
      <c r="E12" s="823" t="s">
        <v>631</v>
      </c>
      <c r="F12" s="823" t="s">
        <v>624</v>
      </c>
      <c r="H12" s="795" t="s">
        <v>632</v>
      </c>
      <c r="I12" s="796" t="s">
        <v>633</v>
      </c>
      <c r="J12" s="796"/>
      <c r="K12" s="796"/>
    </row>
    <row r="13" spans="2:11" ht="13.5" customHeight="1" thickBot="1" x14ac:dyDescent="0.3">
      <c r="B13" s="818">
        <v>1</v>
      </c>
      <c r="C13" s="823" t="s">
        <v>638</v>
      </c>
      <c r="D13" s="823" t="s">
        <v>639</v>
      </c>
      <c r="E13" s="823" t="s">
        <v>582</v>
      </c>
      <c r="F13" s="823" t="s">
        <v>636</v>
      </c>
    </row>
    <row r="14" spans="2:11" ht="13.5" customHeight="1" thickBot="1" x14ac:dyDescent="0.3">
      <c r="B14" s="818">
        <v>3</v>
      </c>
      <c r="C14" s="823" t="s">
        <v>640</v>
      </c>
      <c r="D14" s="823" t="s">
        <v>641</v>
      </c>
      <c r="E14" s="823" t="s">
        <v>582</v>
      </c>
      <c r="F14" s="823" t="s">
        <v>636</v>
      </c>
    </row>
    <row r="15" spans="2:11" ht="13.5" customHeight="1" thickBot="1" x14ac:dyDescent="0.3">
      <c r="B15" s="818">
        <v>64</v>
      </c>
      <c r="C15" s="823" t="s">
        <v>642</v>
      </c>
      <c r="D15" s="823" t="s">
        <v>643</v>
      </c>
      <c r="E15" s="823" t="s">
        <v>582</v>
      </c>
      <c r="F15" s="823" t="s">
        <v>613</v>
      </c>
    </row>
    <row r="16" spans="2:11" ht="13.5" customHeight="1" thickBot="1" x14ac:dyDescent="0.3">
      <c r="B16" s="818">
        <v>23</v>
      </c>
      <c r="C16" s="823" t="s">
        <v>644</v>
      </c>
      <c r="D16" s="823" t="s">
        <v>645</v>
      </c>
      <c r="E16" s="823" t="s">
        <v>582</v>
      </c>
      <c r="F16" s="823" t="s">
        <v>613</v>
      </c>
    </row>
    <row r="17" spans="2:6" ht="13.5" customHeight="1" thickBot="1" x14ac:dyDescent="0.3">
      <c r="B17" s="818">
        <v>9</v>
      </c>
      <c r="C17" s="823" t="s">
        <v>646</v>
      </c>
      <c r="D17" s="823" t="s">
        <v>647</v>
      </c>
      <c r="E17" s="823" t="s">
        <v>582</v>
      </c>
      <c r="F17" s="823" t="s">
        <v>624</v>
      </c>
    </row>
    <row r="18" spans="2:6" ht="13.5" customHeight="1" thickBot="1" x14ac:dyDescent="0.3">
      <c r="B18" s="818">
        <v>29</v>
      </c>
      <c r="C18" s="823" t="s">
        <v>648</v>
      </c>
      <c r="D18" s="823" t="s">
        <v>649</v>
      </c>
      <c r="E18" s="823" t="s">
        <v>603</v>
      </c>
      <c r="F18" s="823" t="s">
        <v>628</v>
      </c>
    </row>
    <row r="19" spans="2:6" ht="13.5" customHeight="1" thickBot="1" x14ac:dyDescent="0.3">
      <c r="B19" s="818">
        <v>10</v>
      </c>
      <c r="C19" s="823" t="s">
        <v>650</v>
      </c>
      <c r="D19" s="823" t="s">
        <v>651</v>
      </c>
      <c r="E19" s="823" t="s">
        <v>603</v>
      </c>
      <c r="F19" s="823" t="s">
        <v>601</v>
      </c>
    </row>
    <row r="20" spans="2:6" ht="13.5" customHeight="1" thickBot="1" x14ac:dyDescent="0.3">
      <c r="B20" s="818">
        <v>30</v>
      </c>
      <c r="C20" s="823" t="s">
        <v>652</v>
      </c>
      <c r="D20" s="823" t="s">
        <v>653</v>
      </c>
      <c r="E20" s="823" t="s">
        <v>582</v>
      </c>
      <c r="F20" s="823" t="s">
        <v>636</v>
      </c>
    </row>
    <row r="21" spans="2:6" ht="16.5" thickBot="1" x14ac:dyDescent="0.3">
      <c r="B21" s="818">
        <v>17</v>
      </c>
      <c r="C21" s="823" t="s">
        <v>654</v>
      </c>
      <c r="D21" s="823" t="s">
        <v>655</v>
      </c>
      <c r="E21" s="823" t="s">
        <v>597</v>
      </c>
      <c r="F21" s="823" t="s">
        <v>613</v>
      </c>
    </row>
    <row r="22" spans="2:6" ht="13.5" customHeight="1" thickBot="1" x14ac:dyDescent="0.3">
      <c r="B22" s="818">
        <v>4</v>
      </c>
      <c r="C22" s="823" t="s">
        <v>656</v>
      </c>
      <c r="D22" s="823" t="s">
        <v>657</v>
      </c>
      <c r="E22" s="823" t="s">
        <v>597</v>
      </c>
      <c r="F22" s="823" t="s">
        <v>601</v>
      </c>
    </row>
    <row r="23" spans="2:6" ht="13.5" customHeight="1" thickBot="1" x14ac:dyDescent="0.3">
      <c r="B23" s="818">
        <v>19</v>
      </c>
      <c r="C23" s="823" t="s">
        <v>658</v>
      </c>
      <c r="D23" s="823" t="s">
        <v>659</v>
      </c>
      <c r="E23" s="823" t="s">
        <v>597</v>
      </c>
      <c r="F23" s="823" t="s">
        <v>628</v>
      </c>
    </row>
    <row r="24" spans="2:6" ht="13.5" customHeight="1" thickBot="1" x14ac:dyDescent="0.3">
      <c r="B24" s="818">
        <v>81</v>
      </c>
      <c r="C24" s="823" t="s">
        <v>660</v>
      </c>
      <c r="D24" s="823" t="s">
        <v>661</v>
      </c>
      <c r="E24" s="823" t="s">
        <v>597</v>
      </c>
      <c r="F24" s="823" t="s">
        <v>624</v>
      </c>
    </row>
    <row r="25" spans="2:6" ht="13.5" customHeight="1" thickBot="1" x14ac:dyDescent="0.3">
      <c r="B25" s="818">
        <v>90</v>
      </c>
      <c r="C25" s="823" t="s">
        <v>662</v>
      </c>
      <c r="D25" s="823" t="s">
        <v>663</v>
      </c>
      <c r="E25" s="823" t="s">
        <v>582</v>
      </c>
      <c r="F25" s="823" t="s">
        <v>636</v>
      </c>
    </row>
    <row r="26" spans="2:6" ht="13.5" customHeight="1" thickBot="1" x14ac:dyDescent="0.3">
      <c r="B26" s="818">
        <v>45</v>
      </c>
      <c r="C26" s="823" t="s">
        <v>664</v>
      </c>
      <c r="D26" s="823" t="s">
        <v>665</v>
      </c>
      <c r="E26" s="823" t="s">
        <v>582</v>
      </c>
      <c r="F26" s="823" t="s">
        <v>613</v>
      </c>
    </row>
    <row r="27" spans="2:6" ht="13.5" customHeight="1" thickBot="1" x14ac:dyDescent="0.3">
      <c r="B27" s="818">
        <v>26</v>
      </c>
      <c r="C27" s="823" t="s">
        <v>666</v>
      </c>
      <c r="D27" s="823" t="s">
        <v>667</v>
      </c>
      <c r="E27" s="823" t="s">
        <v>582</v>
      </c>
      <c r="F27" s="823" t="s">
        <v>613</v>
      </c>
    </row>
    <row r="28" spans="2:6" ht="13.5" customHeight="1" thickBot="1" x14ac:dyDescent="0.3">
      <c r="B28" s="818">
        <v>77</v>
      </c>
      <c r="C28" s="823" t="s">
        <v>668</v>
      </c>
      <c r="D28" s="823" t="s">
        <v>669</v>
      </c>
      <c r="E28" s="823" t="s">
        <v>597</v>
      </c>
      <c r="F28" s="823" t="s">
        <v>628</v>
      </c>
    </row>
    <row r="29" spans="2:6" ht="13.5" customHeight="1" thickBot="1" x14ac:dyDescent="0.3">
      <c r="B29" s="818">
        <v>21</v>
      </c>
      <c r="C29" s="823" t="s">
        <v>670</v>
      </c>
      <c r="D29" s="823" t="s">
        <v>671</v>
      </c>
      <c r="E29" s="823" t="s">
        <v>597</v>
      </c>
      <c r="F29" s="823" t="s">
        <v>613</v>
      </c>
    </row>
    <row r="30" spans="2:6" ht="13.5" customHeight="1" thickBot="1" x14ac:dyDescent="0.3">
      <c r="B30" s="818">
        <v>22</v>
      </c>
      <c r="C30" s="823" t="s">
        <v>672</v>
      </c>
      <c r="D30" s="823" t="s">
        <v>673</v>
      </c>
      <c r="E30" s="823" t="s">
        <v>603</v>
      </c>
      <c r="F30" s="823" t="s">
        <v>601</v>
      </c>
    </row>
    <row r="31" spans="2:6" ht="13.5" customHeight="1" thickBot="1" x14ac:dyDescent="0.3">
      <c r="B31" s="818">
        <v>18</v>
      </c>
      <c r="C31" s="823" t="s">
        <v>674</v>
      </c>
      <c r="D31" s="823" t="s">
        <v>675</v>
      </c>
      <c r="E31" s="823" t="s">
        <v>582</v>
      </c>
      <c r="F31" s="823" t="s">
        <v>601</v>
      </c>
    </row>
    <row r="32" spans="2:6" ht="13.5" customHeight="1" thickBot="1" x14ac:dyDescent="0.3">
      <c r="B32" s="818">
        <v>61</v>
      </c>
      <c r="C32" s="823" t="s">
        <v>676</v>
      </c>
      <c r="D32" s="823" t="s">
        <v>677</v>
      </c>
      <c r="E32" s="823" t="s">
        <v>631</v>
      </c>
      <c r="F32" s="823" t="s">
        <v>583</v>
      </c>
    </row>
    <row r="33" spans="2:6" ht="13.5" customHeight="1" thickBot="1" x14ac:dyDescent="0.3">
      <c r="B33" s="818">
        <v>31</v>
      </c>
      <c r="C33" s="823" t="s">
        <v>678</v>
      </c>
      <c r="D33" s="823" t="s">
        <v>679</v>
      </c>
      <c r="E33" s="823" t="s">
        <v>609</v>
      </c>
      <c r="F33" s="823" t="s">
        <v>628</v>
      </c>
    </row>
    <row r="34" spans="2:6" ht="13.5" customHeight="1" thickBot="1" x14ac:dyDescent="0.3">
      <c r="B34" s="818">
        <v>97</v>
      </c>
      <c r="C34" s="823" t="s">
        <v>680</v>
      </c>
      <c r="D34" s="823" t="s">
        <v>681</v>
      </c>
      <c r="E34" s="823" t="s">
        <v>582</v>
      </c>
      <c r="F34" s="823"/>
    </row>
    <row r="35" spans="2:6" ht="13.5" customHeight="1" thickBot="1" x14ac:dyDescent="0.3">
      <c r="B35" s="818">
        <v>4</v>
      </c>
      <c r="C35" s="823" t="s">
        <v>682</v>
      </c>
      <c r="D35" s="823" t="s">
        <v>683</v>
      </c>
      <c r="E35" s="823" t="s">
        <v>582</v>
      </c>
      <c r="F35" s="823" t="s">
        <v>624</v>
      </c>
    </row>
    <row r="36" spans="2:6" ht="13.5" customHeight="1" thickBot="1" x14ac:dyDescent="0.3">
      <c r="B36" s="818">
        <v>33</v>
      </c>
      <c r="C36" s="823" t="s">
        <v>684</v>
      </c>
      <c r="D36" s="823" t="s">
        <v>685</v>
      </c>
      <c r="E36" s="823" t="s">
        <v>582</v>
      </c>
      <c r="F36" s="823" t="s">
        <v>636</v>
      </c>
    </row>
    <row r="37" spans="2:6" ht="13.5" customHeight="1" thickBot="1" x14ac:dyDescent="0.3">
      <c r="B37" s="818">
        <v>55</v>
      </c>
      <c r="C37" s="823" t="s">
        <v>686</v>
      </c>
      <c r="D37" s="823" t="s">
        <v>687</v>
      </c>
      <c r="E37" s="823" t="s">
        <v>609</v>
      </c>
      <c r="F37" s="823" t="s">
        <v>636</v>
      </c>
    </row>
    <row r="38" spans="2:6" ht="13.5" customHeight="1" thickBot="1" x14ac:dyDescent="0.3">
      <c r="B38" s="818">
        <v>12</v>
      </c>
      <c r="C38" s="823" t="s">
        <v>688</v>
      </c>
      <c r="D38" s="823" t="s">
        <v>689</v>
      </c>
      <c r="E38" s="823" t="s">
        <v>609</v>
      </c>
      <c r="F38" s="823" t="s">
        <v>613</v>
      </c>
    </row>
    <row r="39" spans="2:6" ht="13.5" customHeight="1" thickBot="1" x14ac:dyDescent="0.3">
      <c r="B39" s="818">
        <v>41</v>
      </c>
      <c r="C39" s="823" t="s">
        <v>690</v>
      </c>
      <c r="D39" s="823" t="s">
        <v>691</v>
      </c>
      <c r="E39" s="823" t="s">
        <v>582</v>
      </c>
      <c r="F39" s="823" t="s">
        <v>628</v>
      </c>
    </row>
    <row r="40" spans="2:6" ht="13.5" customHeight="1" thickBot="1" x14ac:dyDescent="0.3">
      <c r="B40" s="818">
        <v>63</v>
      </c>
      <c r="C40" s="823" t="s">
        <v>692</v>
      </c>
      <c r="D40" s="823" t="s">
        <v>693</v>
      </c>
      <c r="E40" s="823" t="s">
        <v>603</v>
      </c>
      <c r="F40" s="823" t="s">
        <v>628</v>
      </c>
    </row>
    <row r="41" spans="2:6" ht="13.5" customHeight="1" thickBot="1" x14ac:dyDescent="0.3">
      <c r="B41" s="818">
        <v>35</v>
      </c>
      <c r="C41" s="823" t="s">
        <v>694</v>
      </c>
      <c r="D41" s="823" t="s">
        <v>695</v>
      </c>
      <c r="E41" s="823" t="s">
        <v>609</v>
      </c>
      <c r="F41" s="823" t="s">
        <v>636</v>
      </c>
    </row>
    <row r="42" spans="2:6" ht="13.5" customHeight="1" thickBot="1" x14ac:dyDescent="0.3">
      <c r="B42" s="818">
        <v>36</v>
      </c>
      <c r="C42" s="823" t="s">
        <v>696</v>
      </c>
      <c r="D42" s="823" t="s">
        <v>697</v>
      </c>
      <c r="E42" s="823" t="s">
        <v>609</v>
      </c>
      <c r="F42" s="823" t="s">
        <v>636</v>
      </c>
    </row>
    <row r="43" spans="2:6" ht="13.5" customHeight="1" thickBot="1" x14ac:dyDescent="0.3">
      <c r="B43" s="818">
        <v>25</v>
      </c>
      <c r="C43" s="823" t="s">
        <v>698</v>
      </c>
      <c r="D43" s="823" t="s">
        <v>699</v>
      </c>
      <c r="E43" s="823" t="s">
        <v>609</v>
      </c>
      <c r="F43" s="823" t="s">
        <v>584</v>
      </c>
    </row>
    <row r="44" spans="2:6" ht="13.5" customHeight="1" thickBot="1" x14ac:dyDescent="0.3">
      <c r="B44" s="818">
        <v>37</v>
      </c>
      <c r="C44" s="823" t="s">
        <v>700</v>
      </c>
      <c r="D44" s="823" t="s">
        <v>701</v>
      </c>
      <c r="E44" s="823" t="s">
        <v>631</v>
      </c>
      <c r="F44" s="823" t="s">
        <v>628</v>
      </c>
    </row>
    <row r="45" spans="2:6" ht="13.5" customHeight="1" thickBot="1" x14ac:dyDescent="0.3">
      <c r="B45" s="818">
        <v>5</v>
      </c>
      <c r="C45" s="823" t="s">
        <v>702</v>
      </c>
      <c r="D45" s="823" t="s">
        <v>703</v>
      </c>
      <c r="E45" s="823" t="s">
        <v>597</v>
      </c>
      <c r="F45" s="823" t="s">
        <v>601</v>
      </c>
    </row>
    <row r="46" spans="2:6" ht="16.5" thickBot="1" x14ac:dyDescent="0.3">
      <c r="B46" s="818">
        <v>38</v>
      </c>
      <c r="C46" s="823" t="s">
        <v>704</v>
      </c>
      <c r="D46" s="823" t="s">
        <v>705</v>
      </c>
      <c r="E46" s="823" t="s">
        <v>609</v>
      </c>
      <c r="F46" s="823" t="s">
        <v>583</v>
      </c>
    </row>
    <row r="47" spans="2:6" ht="16.5" thickBot="1" x14ac:dyDescent="0.3">
      <c r="B47" s="818">
        <v>39</v>
      </c>
      <c r="C47" s="823" t="s">
        <v>706</v>
      </c>
      <c r="D47" s="823" t="s">
        <v>707</v>
      </c>
      <c r="E47" s="823" t="s">
        <v>609</v>
      </c>
      <c r="F47" s="823" t="s">
        <v>624</v>
      </c>
    </row>
    <row r="48" spans="2:6" ht="16.5" thickBot="1" x14ac:dyDescent="0.3">
      <c r="B48" s="818">
        <v>40</v>
      </c>
      <c r="C48" s="823" t="s">
        <v>708</v>
      </c>
      <c r="D48" s="823" t="s">
        <v>709</v>
      </c>
      <c r="E48" s="823" t="s">
        <v>597</v>
      </c>
      <c r="F48" s="823" t="s">
        <v>601</v>
      </c>
    </row>
    <row r="49" spans="2:6" ht="16.5" thickBot="1" x14ac:dyDescent="0.3">
      <c r="B49" s="818">
        <v>92</v>
      </c>
      <c r="C49" s="823" t="s">
        <v>710</v>
      </c>
      <c r="D49" s="823" t="s">
        <v>711</v>
      </c>
      <c r="E49" s="823" t="s">
        <v>597</v>
      </c>
      <c r="F49" s="823" t="s">
        <v>601</v>
      </c>
    </row>
    <row r="50" spans="2:6" ht="16.5" thickBot="1" x14ac:dyDescent="0.3">
      <c r="B50" s="818">
        <v>32</v>
      </c>
      <c r="C50" s="823" t="s">
        <v>712</v>
      </c>
      <c r="D50" s="823" t="s">
        <v>713</v>
      </c>
      <c r="E50" s="823" t="s">
        <v>597</v>
      </c>
      <c r="F50" s="823" t="s">
        <v>601</v>
      </c>
    </row>
    <row r="51" spans="2:6" ht="16.5" thickBot="1" x14ac:dyDescent="0.3">
      <c r="B51" s="818">
        <v>47</v>
      </c>
      <c r="C51" s="823" t="s">
        <v>714</v>
      </c>
      <c r="D51" s="823" t="s">
        <v>715</v>
      </c>
      <c r="E51" s="823" t="s">
        <v>597</v>
      </c>
      <c r="F51" s="823" t="s">
        <v>601</v>
      </c>
    </row>
    <row r="52" spans="2:6" ht="16.5" thickBot="1" x14ac:dyDescent="0.3">
      <c r="B52" s="818">
        <v>42</v>
      </c>
      <c r="C52" s="823" t="s">
        <v>716</v>
      </c>
      <c r="D52" s="823" t="s">
        <v>717</v>
      </c>
      <c r="E52" s="823" t="s">
        <v>609</v>
      </c>
      <c r="F52" s="823" t="s">
        <v>601</v>
      </c>
    </row>
    <row r="53" spans="2:6" ht="16.5" thickBot="1" x14ac:dyDescent="0.3">
      <c r="B53" s="818">
        <v>80</v>
      </c>
      <c r="C53" s="823" t="s">
        <v>718</v>
      </c>
      <c r="D53" s="823" t="s">
        <v>719</v>
      </c>
      <c r="E53" s="823" t="s">
        <v>609</v>
      </c>
      <c r="F53" s="823" t="s">
        <v>601</v>
      </c>
    </row>
    <row r="54" spans="2:6" ht="16.5" thickBot="1" x14ac:dyDescent="0.3">
      <c r="B54" s="818">
        <v>44</v>
      </c>
      <c r="C54" s="823" t="s">
        <v>720</v>
      </c>
      <c r="D54" s="823" t="s">
        <v>721</v>
      </c>
      <c r="E54" s="823" t="s">
        <v>597</v>
      </c>
      <c r="F54" s="823" t="s">
        <v>636</v>
      </c>
    </row>
    <row r="55" spans="2:6" ht="16.5" thickBot="1" x14ac:dyDescent="0.3">
      <c r="B55" s="818">
        <v>65</v>
      </c>
      <c r="C55" s="823" t="s">
        <v>722</v>
      </c>
      <c r="D55" s="823" t="s">
        <v>723</v>
      </c>
      <c r="E55" s="823" t="s">
        <v>582</v>
      </c>
      <c r="F55" s="823" t="s">
        <v>636</v>
      </c>
    </row>
    <row r="56" spans="2:6" ht="16.5" thickBot="1" x14ac:dyDescent="0.3">
      <c r="B56" s="818">
        <v>60</v>
      </c>
      <c r="C56" s="823" t="s">
        <v>724</v>
      </c>
      <c r="D56" s="823" t="s">
        <v>725</v>
      </c>
      <c r="E56" s="823" t="s">
        <v>609</v>
      </c>
      <c r="F56" s="823" t="s">
        <v>583</v>
      </c>
    </row>
    <row r="57" spans="2:6" ht="16.5" thickBot="1" x14ac:dyDescent="0.3">
      <c r="B57" s="818">
        <v>6</v>
      </c>
      <c r="C57" s="823" t="s">
        <v>726</v>
      </c>
      <c r="D57" s="823" t="s">
        <v>727</v>
      </c>
      <c r="E57" s="823" t="s">
        <v>609</v>
      </c>
      <c r="F57" s="823" t="s">
        <v>583</v>
      </c>
    </row>
    <row r="58" spans="2:6" ht="16.5" thickBot="1" x14ac:dyDescent="0.3">
      <c r="B58" s="818">
        <v>75</v>
      </c>
      <c r="C58" s="823" t="s">
        <v>728</v>
      </c>
      <c r="D58" s="823" t="s">
        <v>729</v>
      </c>
      <c r="E58" s="823" t="s">
        <v>597</v>
      </c>
      <c r="F58" s="823" t="s">
        <v>624</v>
      </c>
    </row>
    <row r="59" spans="2:6" ht="16.5" thickBot="1" x14ac:dyDescent="0.3">
      <c r="B59" s="818">
        <v>8</v>
      </c>
      <c r="C59" s="823" t="s">
        <v>730</v>
      </c>
      <c r="D59" s="823" t="s">
        <v>731</v>
      </c>
      <c r="E59" s="823" t="s">
        <v>631</v>
      </c>
      <c r="F59" s="823" t="s">
        <v>624</v>
      </c>
    </row>
    <row r="60" spans="2:6" ht="16.5" thickBot="1" x14ac:dyDescent="0.3">
      <c r="B60" s="818">
        <v>99</v>
      </c>
      <c r="C60" s="823" t="s">
        <v>732</v>
      </c>
      <c r="D60" s="823" t="s">
        <v>733</v>
      </c>
      <c r="E60" s="823" t="s">
        <v>582</v>
      </c>
      <c r="F60" s="823"/>
    </row>
    <row r="61" spans="2:6" ht="16.5" thickBot="1" x14ac:dyDescent="0.3">
      <c r="B61" s="818">
        <v>7</v>
      </c>
      <c r="C61" s="823" t="s">
        <v>734</v>
      </c>
      <c r="D61" s="823" t="s">
        <v>735</v>
      </c>
      <c r="E61" s="823" t="s">
        <v>597</v>
      </c>
      <c r="F61" s="823"/>
    </row>
    <row r="62" spans="2:6" ht="16.5" thickBot="1" x14ac:dyDescent="0.3">
      <c r="B62" s="818">
        <v>46</v>
      </c>
      <c r="C62" s="823" t="s">
        <v>736</v>
      </c>
      <c r="D62" s="823" t="s">
        <v>737</v>
      </c>
      <c r="E62" s="823" t="s">
        <v>603</v>
      </c>
      <c r="F62" s="823" t="s">
        <v>583</v>
      </c>
    </row>
    <row r="63" spans="2:6" ht="16.5" thickBot="1" x14ac:dyDescent="0.3">
      <c r="B63" s="818">
        <v>48</v>
      </c>
      <c r="C63" s="823" t="s">
        <v>738</v>
      </c>
      <c r="D63" s="823" t="s">
        <v>739</v>
      </c>
      <c r="E63" s="823" t="s">
        <v>609</v>
      </c>
      <c r="F63" s="823" t="s">
        <v>613</v>
      </c>
    </row>
    <row r="64" spans="2:6" s="798" customFormat="1" x14ac:dyDescent="0.25"/>
    <row r="65" spans="3:6" ht="15.75" customHeight="1" x14ac:dyDescent="0.25"/>
    <row r="77" spans="3:6" x14ac:dyDescent="0.25">
      <c r="C77" s="799"/>
      <c r="D77" s="800"/>
      <c r="E77" s="800"/>
      <c r="F77" s="800"/>
    </row>
  </sheetData>
  <autoFilter ref="B1:F1"/>
  <mergeCells count="2">
    <mergeCell ref="H1:I1"/>
    <mergeCell ref="J1:K1"/>
  </mergeCells>
  <printOptions horizontalCentered="1"/>
  <pageMargins left="0.26" right="0.25" top="0.4" bottom="0.25" header="0.2" footer="0.2"/>
  <pageSetup scale="81" orientation="portrait" r:id="rId1"/>
  <headerFooter alignWithMargins="0">
    <oddHeader>&amp;C&amp;14Controller's Budget Office and Mayor's Budget Office Contacts</oddHeader>
  </headerFooter>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5" sqref="F2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1"/>
  <sheetViews>
    <sheetView showGridLines="0" view="pageBreakPreview" zoomScale="60" zoomScaleNormal="100" workbookViewId="0">
      <selection activeCell="M17" sqref="M17"/>
    </sheetView>
  </sheetViews>
  <sheetFormatPr defaultRowHeight="15" x14ac:dyDescent="0.25"/>
  <cols>
    <col min="1" max="1" width="5.7109375" customWidth="1"/>
    <col min="3" max="3" width="18.28515625" customWidth="1"/>
    <col min="4" max="4" width="32.42578125" customWidth="1"/>
    <col min="5" max="5" width="4.7109375" customWidth="1"/>
    <col min="6" max="6" width="17.7109375" customWidth="1"/>
    <col min="7" max="7" width="39.5703125" customWidth="1"/>
    <col min="8" max="8" width="4.28515625" customWidth="1"/>
    <col min="9" max="9" width="17.5703125" customWidth="1"/>
    <col min="10" max="10" width="39.5703125" customWidth="1"/>
  </cols>
  <sheetData>
    <row r="2" spans="2:10" ht="18" x14ac:dyDescent="0.25">
      <c r="B2" s="34" t="s">
        <v>787</v>
      </c>
      <c r="C2" s="35"/>
      <c r="D2" s="36"/>
      <c r="E2" s="36"/>
      <c r="F2" s="36"/>
      <c r="G2" s="36"/>
      <c r="H2" s="36"/>
      <c r="I2" s="36"/>
      <c r="J2" s="36"/>
    </row>
    <row r="3" spans="2:10" x14ac:dyDescent="0.25">
      <c r="B3" s="37" t="s">
        <v>759</v>
      </c>
      <c r="C3" s="38"/>
      <c r="D3" s="36"/>
      <c r="E3" s="36"/>
      <c r="F3" s="36"/>
      <c r="G3" s="36"/>
      <c r="H3" s="36"/>
      <c r="I3" s="36"/>
      <c r="J3" s="36"/>
    </row>
    <row r="5" spans="2:10" x14ac:dyDescent="0.25">
      <c r="B5" s="36"/>
      <c r="C5" s="39"/>
      <c r="D5" s="36"/>
      <c r="E5" s="36"/>
      <c r="F5" s="39"/>
      <c r="G5" s="36"/>
      <c r="H5" s="36"/>
      <c r="I5" s="40"/>
      <c r="J5" s="36"/>
    </row>
    <row r="6" spans="2:10" x14ac:dyDescent="0.25">
      <c r="B6" s="36"/>
      <c r="C6" s="829"/>
      <c r="D6" s="829"/>
      <c r="E6" s="829"/>
      <c r="F6" s="829"/>
      <c r="G6" s="829"/>
      <c r="H6" s="829"/>
      <c r="I6" s="829"/>
      <c r="J6" s="829"/>
    </row>
    <row r="7" spans="2:10" x14ac:dyDescent="0.25">
      <c r="B7" s="36"/>
      <c r="C7" s="830"/>
      <c r="D7" s="831"/>
      <c r="E7" s="829"/>
      <c r="F7" s="830"/>
      <c r="G7" s="831"/>
      <c r="H7" s="829"/>
      <c r="I7" s="830"/>
      <c r="J7" s="831"/>
    </row>
    <row r="8" spans="2:10" x14ac:dyDescent="0.25">
      <c r="B8" s="36"/>
      <c r="C8" s="830"/>
      <c r="D8" s="832"/>
      <c r="E8" s="829"/>
      <c r="F8" s="830"/>
      <c r="G8" s="832"/>
      <c r="H8" s="829"/>
      <c r="I8" s="830"/>
      <c r="J8" s="832"/>
    </row>
    <row r="9" spans="2:10" x14ac:dyDescent="0.25">
      <c r="B9" s="36"/>
      <c r="C9" s="830"/>
      <c r="D9" s="831"/>
      <c r="E9" s="829"/>
      <c r="F9" s="830"/>
      <c r="G9" s="831"/>
      <c r="H9" s="829"/>
      <c r="I9" s="830"/>
      <c r="J9" s="831"/>
    </row>
    <row r="10" spans="2:10" ht="55.5" customHeight="1" x14ac:dyDescent="0.25">
      <c r="B10" s="36"/>
      <c r="C10" s="830"/>
      <c r="D10" s="832"/>
      <c r="E10" s="829"/>
      <c r="F10" s="830"/>
      <c r="G10" s="832"/>
      <c r="H10" s="829"/>
      <c r="I10" s="830"/>
      <c r="J10" s="832"/>
    </row>
    <row r="11" spans="2:10" x14ac:dyDescent="0.25">
      <c r="C11" s="833"/>
      <c r="D11" s="833"/>
      <c r="E11" s="834"/>
      <c r="F11" s="833"/>
      <c r="G11" s="833"/>
      <c r="H11" s="834"/>
      <c r="I11" s="833"/>
      <c r="J11" s="833"/>
    </row>
    <row r="12" spans="2:10" x14ac:dyDescent="0.25">
      <c r="B12" s="36"/>
      <c r="C12" s="830"/>
      <c r="D12" s="833"/>
      <c r="E12" s="829"/>
      <c r="F12" s="830"/>
      <c r="G12" s="833"/>
      <c r="H12" s="829"/>
      <c r="I12" s="830"/>
      <c r="J12" s="833"/>
    </row>
    <row r="13" spans="2:10" x14ac:dyDescent="0.25">
      <c r="B13" s="36"/>
      <c r="C13" s="835"/>
      <c r="D13" s="835"/>
      <c r="E13" s="829"/>
      <c r="F13" s="835"/>
      <c r="G13" s="835"/>
      <c r="H13" s="829"/>
      <c r="I13" s="835"/>
      <c r="J13" s="835"/>
    </row>
    <row r="14" spans="2:10" x14ac:dyDescent="0.25">
      <c r="B14" s="36"/>
      <c r="C14" s="836"/>
      <c r="D14" s="837"/>
      <c r="E14" s="829"/>
      <c r="F14" s="836"/>
      <c r="G14" s="837"/>
      <c r="H14" s="829"/>
      <c r="I14" s="835"/>
      <c r="J14" s="835"/>
    </row>
    <row r="15" spans="2:10" x14ac:dyDescent="0.25">
      <c r="C15" s="836"/>
      <c r="D15" s="837"/>
      <c r="E15" s="829"/>
      <c r="F15" s="836"/>
      <c r="G15" s="837"/>
      <c r="H15" s="829"/>
      <c r="I15" s="835"/>
      <c r="J15" s="835"/>
    </row>
    <row r="16" spans="2:10" x14ac:dyDescent="0.25">
      <c r="C16" s="836"/>
      <c r="D16" s="837"/>
      <c r="E16" s="829"/>
      <c r="F16" s="836"/>
      <c r="G16" s="837"/>
      <c r="H16" s="829"/>
      <c r="I16" s="835"/>
      <c r="J16" s="835"/>
    </row>
    <row r="17" spans="3:10" x14ac:dyDescent="0.25">
      <c r="C17" s="836"/>
      <c r="D17" s="837"/>
      <c r="E17" s="829"/>
      <c r="F17" s="836"/>
      <c r="G17" s="837"/>
      <c r="H17" s="829"/>
      <c r="I17" s="835"/>
      <c r="J17" s="835"/>
    </row>
    <row r="18" spans="3:10" x14ac:dyDescent="0.25">
      <c r="C18" s="836"/>
      <c r="D18" s="837"/>
      <c r="E18" s="829"/>
      <c r="F18" s="836"/>
      <c r="G18" s="837"/>
      <c r="H18" s="829"/>
      <c r="I18" s="835"/>
      <c r="J18" s="835"/>
    </row>
    <row r="19" spans="3:10" x14ac:dyDescent="0.25">
      <c r="C19" s="836"/>
      <c r="D19" s="837"/>
      <c r="E19" s="829"/>
      <c r="F19" s="836"/>
      <c r="G19" s="837"/>
      <c r="H19" s="829"/>
      <c r="I19" s="835"/>
      <c r="J19" s="835"/>
    </row>
    <row r="20" spans="3:10" x14ac:dyDescent="0.25">
      <c r="C20" s="836"/>
      <c r="D20" s="837"/>
      <c r="E20" s="829"/>
      <c r="F20" s="836"/>
      <c r="G20" s="837"/>
      <c r="H20" s="829"/>
      <c r="I20" s="835"/>
      <c r="J20" s="835"/>
    </row>
    <row r="21" spans="3:10" x14ac:dyDescent="0.25">
      <c r="C21" s="836"/>
      <c r="D21" s="837"/>
      <c r="E21" s="829"/>
      <c r="F21" s="836"/>
      <c r="G21" s="837"/>
      <c r="H21" s="829"/>
      <c r="I21" s="835"/>
      <c r="J21" s="835"/>
    </row>
    <row r="22" spans="3:10" x14ac:dyDescent="0.25">
      <c r="C22" s="836"/>
      <c r="D22" s="837"/>
      <c r="E22" s="834"/>
      <c r="F22" s="836"/>
      <c r="G22" s="837"/>
      <c r="H22" s="834"/>
      <c r="I22" s="835"/>
      <c r="J22" s="835"/>
    </row>
    <row r="23" spans="3:10" x14ac:dyDescent="0.25">
      <c r="C23" s="836"/>
      <c r="D23" s="837"/>
      <c r="E23" s="834"/>
      <c r="F23" s="836"/>
      <c r="G23" s="837"/>
      <c r="H23" s="834"/>
      <c r="I23" s="835"/>
      <c r="J23" s="835"/>
    </row>
    <row r="24" spans="3:10" x14ac:dyDescent="0.25">
      <c r="C24" s="838"/>
      <c r="D24" s="837"/>
      <c r="E24" s="834"/>
      <c r="F24" s="838"/>
      <c r="G24" s="837"/>
      <c r="H24" s="834"/>
      <c r="I24" s="835"/>
      <c r="J24" s="835"/>
    </row>
    <row r="25" spans="3:10" x14ac:dyDescent="0.25">
      <c r="C25" s="838"/>
      <c r="D25" s="837"/>
      <c r="E25" s="834"/>
      <c r="F25" s="838"/>
      <c r="G25" s="837"/>
      <c r="H25" s="834"/>
      <c r="I25" s="835"/>
      <c r="J25" s="835"/>
    </row>
    <row r="26" spans="3:10" x14ac:dyDescent="0.25">
      <c r="C26" s="838"/>
      <c r="D26" s="837"/>
      <c r="E26" s="834"/>
      <c r="F26" s="838"/>
      <c r="G26" s="837"/>
      <c r="H26" s="834"/>
      <c r="I26" s="834"/>
      <c r="J26" s="834"/>
    </row>
    <row r="27" spans="3:10" x14ac:dyDescent="0.25">
      <c r="C27" s="836"/>
      <c r="D27" s="839"/>
      <c r="E27" s="834"/>
      <c r="F27" s="836"/>
      <c r="G27" s="839"/>
      <c r="H27" s="834"/>
      <c r="I27" s="834"/>
      <c r="J27" s="834"/>
    </row>
    <row r="28" spans="3:10" x14ac:dyDescent="0.25">
      <c r="C28" s="840"/>
      <c r="D28" s="837"/>
      <c r="E28" s="834"/>
      <c r="F28" s="840"/>
      <c r="G28" s="837"/>
      <c r="H28" s="834"/>
      <c r="I28" s="834"/>
      <c r="J28" s="834"/>
    </row>
    <row r="29" spans="3:10" x14ac:dyDescent="0.25">
      <c r="C29" s="840"/>
      <c r="D29" s="837"/>
      <c r="E29" s="834"/>
      <c r="F29" s="840"/>
      <c r="G29" s="837"/>
      <c r="H29" s="834"/>
      <c r="I29" s="834"/>
      <c r="J29" s="834"/>
    </row>
    <row r="30" spans="3:10" x14ac:dyDescent="0.25">
      <c r="C30" s="840"/>
      <c r="D30" s="837"/>
      <c r="E30" s="834"/>
      <c r="F30" s="840"/>
      <c r="G30" s="837"/>
      <c r="H30" s="834"/>
      <c r="I30" s="834"/>
      <c r="J30" s="834"/>
    </row>
    <row r="31" spans="3:10" x14ac:dyDescent="0.25">
      <c r="C31" s="834"/>
      <c r="D31" s="834"/>
      <c r="E31" s="834"/>
      <c r="F31" s="834"/>
      <c r="G31" s="834"/>
      <c r="H31" s="834"/>
      <c r="I31" s="834"/>
      <c r="J31" s="834"/>
    </row>
  </sheetData>
  <pageMargins left="0.7" right="0.7" top="0.75" bottom="0.75" header="0.3" footer="0.3"/>
  <pageSetup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1"/>
  <sheetViews>
    <sheetView showGridLines="0" view="pageBreakPreview" zoomScale="60" zoomScaleNormal="70" workbookViewId="0">
      <selection activeCell="I38" sqref="I38"/>
    </sheetView>
  </sheetViews>
  <sheetFormatPr defaultRowHeight="15" x14ac:dyDescent="0.25"/>
  <cols>
    <col min="1" max="1" width="5.7109375" customWidth="1"/>
    <col min="3" max="3" width="18.28515625" customWidth="1"/>
    <col min="4" max="4" width="32.42578125" customWidth="1"/>
    <col min="5" max="5" width="4.7109375" customWidth="1"/>
    <col min="6" max="6" width="17.7109375" customWidth="1"/>
    <col min="7" max="7" width="39.5703125" customWidth="1"/>
    <col min="8" max="8" width="4.28515625" customWidth="1"/>
    <col min="9" max="9" width="17.5703125" customWidth="1"/>
    <col min="10" max="10" width="39.5703125" customWidth="1"/>
  </cols>
  <sheetData>
    <row r="2" spans="2:10" ht="18" x14ac:dyDescent="0.25">
      <c r="B2" s="34" t="s">
        <v>788</v>
      </c>
      <c r="C2" s="35"/>
      <c r="D2" s="36"/>
      <c r="E2" s="36"/>
      <c r="F2" s="36"/>
      <c r="G2" s="36"/>
      <c r="H2" s="36"/>
      <c r="I2" s="36"/>
      <c r="J2" s="36"/>
    </row>
    <row r="3" spans="2:10" x14ac:dyDescent="0.25">
      <c r="B3" s="37" t="s">
        <v>759</v>
      </c>
      <c r="C3" s="38"/>
      <c r="D3" s="36"/>
      <c r="E3" s="36"/>
      <c r="F3" s="36"/>
      <c r="G3" s="36"/>
      <c r="H3" s="36"/>
      <c r="I3" s="36"/>
      <c r="J3" s="36"/>
    </row>
    <row r="5" spans="2:10" x14ac:dyDescent="0.25">
      <c r="B5" s="36"/>
      <c r="C5" s="39"/>
      <c r="D5" s="36"/>
      <c r="E5" s="36"/>
      <c r="F5" s="39"/>
      <c r="G5" s="36"/>
      <c r="H5" s="36"/>
      <c r="I5" s="40"/>
      <c r="J5" s="36"/>
    </row>
    <row r="6" spans="2:10" x14ac:dyDescent="0.25">
      <c r="B6" s="36"/>
      <c r="C6" s="829"/>
      <c r="D6" s="829"/>
      <c r="E6" s="829"/>
      <c r="F6" s="829"/>
      <c r="G6" s="829"/>
      <c r="H6" s="829"/>
      <c r="I6" s="829"/>
      <c r="J6" s="829"/>
    </row>
    <row r="7" spans="2:10" x14ac:dyDescent="0.25">
      <c r="B7" s="36"/>
      <c r="C7" s="830"/>
      <c r="D7" s="831"/>
      <c r="E7" s="829"/>
      <c r="F7" s="830"/>
      <c r="G7" s="831"/>
      <c r="H7" s="829"/>
      <c r="I7" s="830"/>
      <c r="J7" s="831"/>
    </row>
    <row r="8" spans="2:10" x14ac:dyDescent="0.25">
      <c r="B8" s="36"/>
      <c r="C8" s="830"/>
      <c r="D8" s="832"/>
      <c r="E8" s="829"/>
      <c r="F8" s="830"/>
      <c r="G8" s="832"/>
      <c r="H8" s="829"/>
      <c r="I8" s="830"/>
      <c r="J8" s="832"/>
    </row>
    <row r="9" spans="2:10" x14ac:dyDescent="0.25">
      <c r="B9" s="36"/>
      <c r="C9" s="830"/>
      <c r="D9" s="831"/>
      <c r="E9" s="829"/>
      <c r="F9" s="830"/>
      <c r="G9" s="831"/>
      <c r="H9" s="829"/>
      <c r="I9" s="830"/>
      <c r="J9" s="831"/>
    </row>
    <row r="10" spans="2:10" ht="55.5" customHeight="1" x14ac:dyDescent="0.25">
      <c r="B10" s="36"/>
      <c r="C10" s="830"/>
      <c r="D10" s="832"/>
      <c r="E10" s="829"/>
      <c r="F10" s="830"/>
      <c r="G10" s="832"/>
      <c r="H10" s="829"/>
      <c r="I10" s="830"/>
      <c r="J10" s="832"/>
    </row>
    <row r="11" spans="2:10" x14ac:dyDescent="0.25">
      <c r="C11" s="833"/>
      <c r="D11" s="833"/>
      <c r="E11" s="834"/>
      <c r="F11" s="833"/>
      <c r="G11" s="833"/>
      <c r="H11" s="834"/>
      <c r="I11" s="833"/>
      <c r="J11" s="833"/>
    </row>
    <row r="12" spans="2:10" x14ac:dyDescent="0.25">
      <c r="B12" s="36"/>
      <c r="C12" s="830"/>
      <c r="D12" s="833"/>
      <c r="E12" s="829"/>
      <c r="F12" s="830"/>
      <c r="G12" s="833"/>
      <c r="H12" s="829"/>
      <c r="I12" s="830"/>
      <c r="J12" s="833"/>
    </row>
    <row r="13" spans="2:10" x14ac:dyDescent="0.25">
      <c r="B13" s="36"/>
      <c r="C13" s="835"/>
      <c r="D13" s="835"/>
      <c r="E13" s="829"/>
      <c r="F13" s="835"/>
      <c r="G13" s="835"/>
      <c r="H13" s="829"/>
      <c r="I13" s="835"/>
      <c r="J13" s="835"/>
    </row>
    <row r="14" spans="2:10" x14ac:dyDescent="0.25">
      <c r="B14" s="36"/>
      <c r="C14" s="836"/>
      <c r="D14" s="837"/>
      <c r="E14" s="829"/>
      <c r="F14" s="836"/>
      <c r="G14" s="837"/>
      <c r="H14" s="829"/>
      <c r="I14" s="835"/>
      <c r="J14" s="835"/>
    </row>
    <row r="15" spans="2:10" x14ac:dyDescent="0.25">
      <c r="C15" s="836"/>
      <c r="D15" s="837"/>
      <c r="E15" s="829"/>
      <c r="F15" s="836"/>
      <c r="G15" s="837"/>
      <c r="H15" s="829"/>
      <c r="I15" s="835"/>
      <c r="J15" s="835"/>
    </row>
    <row r="16" spans="2:10" x14ac:dyDescent="0.25">
      <c r="C16" s="836"/>
      <c r="D16" s="837"/>
      <c r="E16" s="829"/>
      <c r="F16" s="836"/>
      <c r="G16" s="837"/>
      <c r="H16" s="829"/>
      <c r="I16" s="835"/>
      <c r="J16" s="835"/>
    </row>
    <row r="17" spans="3:10" x14ac:dyDescent="0.25">
      <c r="C17" s="836"/>
      <c r="D17" s="837"/>
      <c r="E17" s="829"/>
      <c r="F17" s="836"/>
      <c r="G17" s="837"/>
      <c r="H17" s="829"/>
      <c r="I17" s="835"/>
      <c r="J17" s="835"/>
    </row>
    <row r="18" spans="3:10" x14ac:dyDescent="0.25">
      <c r="C18" s="836"/>
      <c r="D18" s="837"/>
      <c r="E18" s="829"/>
      <c r="F18" s="836"/>
      <c r="G18" s="837"/>
      <c r="H18" s="829"/>
      <c r="I18" s="835"/>
      <c r="J18" s="835"/>
    </row>
    <row r="19" spans="3:10" x14ac:dyDescent="0.25">
      <c r="C19" s="836"/>
      <c r="D19" s="837"/>
      <c r="E19" s="829"/>
      <c r="F19" s="836"/>
      <c r="G19" s="837"/>
      <c r="H19" s="829"/>
      <c r="I19" s="835"/>
      <c r="J19" s="835"/>
    </row>
    <row r="20" spans="3:10" x14ac:dyDescent="0.25">
      <c r="C20" s="836"/>
      <c r="D20" s="837"/>
      <c r="E20" s="829"/>
      <c r="F20" s="836"/>
      <c r="G20" s="837"/>
      <c r="H20" s="829"/>
      <c r="I20" s="835"/>
      <c r="J20" s="835"/>
    </row>
    <row r="21" spans="3:10" x14ac:dyDescent="0.25">
      <c r="C21" s="836"/>
      <c r="D21" s="837"/>
      <c r="E21" s="829"/>
      <c r="F21" s="836"/>
      <c r="G21" s="837"/>
      <c r="H21" s="829"/>
      <c r="I21" s="835"/>
      <c r="J21" s="835"/>
    </row>
    <row r="22" spans="3:10" x14ac:dyDescent="0.25">
      <c r="C22" s="836"/>
      <c r="D22" s="837"/>
      <c r="E22" s="834"/>
      <c r="F22" s="836"/>
      <c r="G22" s="837"/>
      <c r="H22" s="834"/>
      <c r="I22" s="835"/>
      <c r="J22" s="835"/>
    </row>
    <row r="23" spans="3:10" x14ac:dyDescent="0.25">
      <c r="C23" s="836"/>
      <c r="D23" s="837"/>
      <c r="E23" s="834"/>
      <c r="F23" s="836"/>
      <c r="G23" s="837"/>
      <c r="H23" s="834"/>
      <c r="I23" s="835"/>
      <c r="J23" s="835"/>
    </row>
    <row r="24" spans="3:10" x14ac:dyDescent="0.25">
      <c r="C24" s="838"/>
      <c r="D24" s="837"/>
      <c r="E24" s="834"/>
      <c r="F24" s="838"/>
      <c r="G24" s="837"/>
      <c r="H24" s="834"/>
      <c r="I24" s="835"/>
      <c r="J24" s="835"/>
    </row>
    <row r="25" spans="3:10" x14ac:dyDescent="0.25">
      <c r="C25" s="838"/>
      <c r="D25" s="837"/>
      <c r="E25" s="834"/>
      <c r="F25" s="838"/>
      <c r="G25" s="837"/>
      <c r="H25" s="834"/>
      <c r="I25" s="835"/>
      <c r="J25" s="835"/>
    </row>
    <row r="26" spans="3:10" x14ac:dyDescent="0.25">
      <c r="C26" s="838"/>
      <c r="D26" s="837"/>
      <c r="E26" s="834"/>
      <c r="F26" s="838"/>
      <c r="G26" s="837"/>
      <c r="H26" s="834"/>
      <c r="I26" s="834"/>
      <c r="J26" s="834"/>
    </row>
    <row r="27" spans="3:10" x14ac:dyDescent="0.25">
      <c r="C27" s="836"/>
      <c r="D27" s="839"/>
      <c r="E27" s="834"/>
      <c r="F27" s="836"/>
      <c r="G27" s="839"/>
      <c r="H27" s="834"/>
      <c r="I27" s="834"/>
      <c r="J27" s="834"/>
    </row>
    <row r="28" spans="3:10" x14ac:dyDescent="0.25">
      <c r="C28" s="840"/>
      <c r="D28" s="837"/>
      <c r="E28" s="834"/>
      <c r="F28" s="840"/>
      <c r="G28" s="837"/>
      <c r="H28" s="834"/>
      <c r="I28" s="834"/>
      <c r="J28" s="834"/>
    </row>
    <row r="29" spans="3:10" x14ac:dyDescent="0.25">
      <c r="C29" s="840"/>
      <c r="D29" s="837"/>
      <c r="E29" s="834"/>
      <c r="F29" s="840"/>
      <c r="G29" s="837"/>
      <c r="H29" s="834"/>
      <c r="I29" s="834"/>
      <c r="J29" s="834"/>
    </row>
    <row r="30" spans="3:10" x14ac:dyDescent="0.25">
      <c r="C30" s="840"/>
      <c r="D30" s="837"/>
      <c r="E30" s="834"/>
      <c r="F30" s="840"/>
      <c r="G30" s="837"/>
      <c r="H30" s="834"/>
      <c r="I30" s="834"/>
      <c r="J30" s="834"/>
    </row>
    <row r="31" spans="3:10" x14ac:dyDescent="0.25">
      <c r="C31" s="834"/>
      <c r="D31" s="834"/>
      <c r="E31" s="834"/>
      <c r="F31" s="834"/>
      <c r="G31" s="834"/>
      <c r="H31" s="834"/>
      <c r="I31" s="834"/>
      <c r="J31" s="834"/>
    </row>
  </sheetData>
  <pageMargins left="0.7" right="0.7" top="0.75" bottom="0.75" header="0.3" footer="0.3"/>
  <pageSetup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Q23"/>
  <sheetViews>
    <sheetView view="pageBreakPreview" zoomScale="50" zoomScaleNormal="80" zoomScaleSheetLayoutView="50" workbookViewId="0">
      <selection activeCell="O15" sqref="O15"/>
    </sheetView>
  </sheetViews>
  <sheetFormatPr defaultColWidth="9.140625" defaultRowHeight="14.25" x14ac:dyDescent="0.2"/>
  <cols>
    <col min="1" max="1" width="5" style="3" customWidth="1"/>
    <col min="2" max="2" width="16.5703125" style="3" customWidth="1"/>
    <col min="3" max="3" width="10" style="3" customWidth="1"/>
    <col min="4" max="4" width="9.7109375" style="3" customWidth="1"/>
    <col min="5" max="5" width="14.28515625" style="3" customWidth="1"/>
    <col min="6" max="7" width="6.28515625" style="3" customWidth="1"/>
    <col min="8" max="8" width="9" style="3" customWidth="1"/>
    <col min="9" max="9" width="20.7109375" style="3" customWidth="1"/>
    <col min="10" max="10" width="24.42578125" style="3" customWidth="1"/>
    <col min="11" max="11" width="12.5703125" style="3" customWidth="1"/>
    <col min="12" max="13" width="12.7109375" style="3" customWidth="1"/>
    <col min="14" max="14" width="11.7109375" style="3" customWidth="1"/>
    <col min="15" max="15" width="12.85546875" style="3" customWidth="1"/>
    <col min="16" max="16" width="12.140625" style="3" customWidth="1"/>
    <col min="17" max="17" width="31.7109375" style="3" customWidth="1"/>
    <col min="18" max="16384" width="9.140625" style="3"/>
  </cols>
  <sheetData>
    <row r="2" spans="2:17" s="47" customFormat="1" ht="23.25" customHeight="1" x14ac:dyDescent="0.25">
      <c r="B2" s="46" t="s">
        <v>34</v>
      </c>
    </row>
    <row r="3" spans="2:17" s="47" customFormat="1" ht="15" x14ac:dyDescent="0.25">
      <c r="B3" s="37" t="s">
        <v>759</v>
      </c>
      <c r="C3" s="48"/>
      <c r="D3" s="49"/>
    </row>
    <row r="4" spans="2:17" s="47" customFormat="1" ht="23.25" customHeight="1" x14ac:dyDescent="0.25">
      <c r="B4" s="1076"/>
      <c r="C4" s="1076"/>
      <c r="D4" s="49"/>
    </row>
    <row r="5" spans="2:17" s="47" customFormat="1" ht="15" x14ac:dyDescent="0.25">
      <c r="B5" s="50" t="s">
        <v>35</v>
      </c>
      <c r="C5" s="50"/>
      <c r="D5" s="49"/>
    </row>
    <row r="6" spans="2:17" ht="15" x14ac:dyDescent="0.25">
      <c r="B6" s="51" t="s">
        <v>36</v>
      </c>
      <c r="D6" s="52"/>
      <c r="E6" s="52"/>
    </row>
    <row r="7" spans="2:17" x14ac:dyDescent="0.2">
      <c r="B7" s="53" t="s">
        <v>37</v>
      </c>
      <c r="D7" s="52"/>
      <c r="E7" s="52"/>
    </row>
    <row r="8" spans="2:17" x14ac:dyDescent="0.2">
      <c r="B8" s="53" t="s">
        <v>38</v>
      </c>
      <c r="D8" s="52"/>
      <c r="E8" s="52"/>
    </row>
    <row r="9" spans="2:17" x14ac:dyDescent="0.2">
      <c r="B9" s="53" t="s">
        <v>39</v>
      </c>
      <c r="C9" s="54"/>
      <c r="D9" s="54"/>
      <c r="J9" s="54"/>
    </row>
    <row r="10" spans="2:17" ht="15" thickBot="1" x14ac:dyDescent="0.25"/>
    <row r="11" spans="2:17" s="55" customFormat="1" ht="15.75" thickBot="1" x14ac:dyDescent="0.3">
      <c r="B11" s="1025" t="s">
        <v>40</v>
      </c>
      <c r="C11" s="1026"/>
      <c r="D11" s="1027"/>
      <c r="E11" s="1027"/>
      <c r="F11" s="1027"/>
      <c r="G11" s="1027"/>
      <c r="H11" s="1027"/>
      <c r="I11" s="1027"/>
      <c r="J11" s="1028"/>
      <c r="K11" s="1027"/>
      <c r="L11" s="1028" t="s">
        <v>41</v>
      </c>
      <c r="M11" s="1027"/>
      <c r="N11" s="1028" t="s">
        <v>41</v>
      </c>
      <c r="O11" s="1028"/>
      <c r="P11" s="1028" t="s">
        <v>41</v>
      </c>
      <c r="Q11" s="1029" t="s">
        <v>41</v>
      </c>
    </row>
    <row r="12" spans="2:17" s="56" customFormat="1" ht="61.5" customHeight="1" thickBot="1" x14ac:dyDescent="0.25">
      <c r="B12" s="1031" t="s">
        <v>42</v>
      </c>
      <c r="C12" s="1032" t="s">
        <v>43</v>
      </c>
      <c r="D12" s="1032" t="s">
        <v>44</v>
      </c>
      <c r="E12" s="1032" t="s">
        <v>5</v>
      </c>
      <c r="F12" s="1032" t="s">
        <v>45</v>
      </c>
      <c r="G12" s="1032" t="s">
        <v>46</v>
      </c>
      <c r="H12" s="1032" t="s">
        <v>47</v>
      </c>
      <c r="I12" s="1032" t="s">
        <v>48</v>
      </c>
      <c r="J12" s="1032" t="s">
        <v>49</v>
      </c>
      <c r="K12" s="1032" t="s">
        <v>50</v>
      </c>
      <c r="L12" s="1032" t="s">
        <v>51</v>
      </c>
      <c r="M12" s="1032" t="s">
        <v>52</v>
      </c>
      <c r="N12" s="1032" t="s">
        <v>53</v>
      </c>
      <c r="O12" s="1032" t="s">
        <v>54</v>
      </c>
      <c r="P12" s="1032" t="s">
        <v>55</v>
      </c>
      <c r="Q12" s="1033" t="s">
        <v>56</v>
      </c>
    </row>
    <row r="13" spans="2:17" s="55" customFormat="1" ht="51" customHeight="1" x14ac:dyDescent="0.2">
      <c r="B13" s="1034" t="s">
        <v>42</v>
      </c>
      <c r="C13" s="1030" t="s">
        <v>789</v>
      </c>
      <c r="D13" s="1030" t="s">
        <v>790</v>
      </c>
      <c r="E13" s="1030" t="s">
        <v>791</v>
      </c>
      <c r="F13" s="1030" t="s">
        <v>931</v>
      </c>
      <c r="G13" s="1030" t="s">
        <v>932</v>
      </c>
      <c r="H13" s="1030" t="s">
        <v>933</v>
      </c>
      <c r="I13" s="1030" t="s">
        <v>934</v>
      </c>
      <c r="J13" s="1036">
        <v>29870</v>
      </c>
      <c r="K13" s="1036">
        <v>89918</v>
      </c>
      <c r="L13" s="1036">
        <v>89362</v>
      </c>
      <c r="M13" s="1036">
        <v>54045</v>
      </c>
      <c r="N13" s="1036">
        <f>M13-K13</f>
        <v>-35873</v>
      </c>
      <c r="O13" s="1036">
        <v>110318</v>
      </c>
      <c r="P13" s="1036">
        <f>O13-M13</f>
        <v>56273</v>
      </c>
      <c r="Q13" s="977" t="s">
        <v>977</v>
      </c>
    </row>
    <row r="14" spans="2:17" s="55" customFormat="1" ht="49.5" customHeight="1" x14ac:dyDescent="0.2">
      <c r="B14" s="1035" t="s">
        <v>42</v>
      </c>
      <c r="C14" s="1023" t="s">
        <v>789</v>
      </c>
      <c r="D14" s="1023" t="s">
        <v>790</v>
      </c>
      <c r="E14" s="1023" t="s">
        <v>791</v>
      </c>
      <c r="F14" s="1023" t="s">
        <v>931</v>
      </c>
      <c r="G14" s="1023" t="s">
        <v>932</v>
      </c>
      <c r="H14" s="1023" t="s">
        <v>935</v>
      </c>
      <c r="I14" s="1023" t="s">
        <v>936</v>
      </c>
      <c r="J14" s="1037">
        <v>53014</v>
      </c>
      <c r="K14" s="1037">
        <v>95000</v>
      </c>
      <c r="L14" s="1037">
        <v>95000</v>
      </c>
      <c r="M14" s="1037">
        <v>25000</v>
      </c>
      <c r="N14" s="1037">
        <f t="shared" ref="N14:N17" si="0">M14-K14</f>
        <v>-70000</v>
      </c>
      <c r="O14" s="1037">
        <v>25000</v>
      </c>
      <c r="P14" s="1037">
        <f t="shared" ref="P14:P17" si="1">O14-M14</f>
        <v>0</v>
      </c>
      <c r="Q14" s="977" t="s">
        <v>977</v>
      </c>
    </row>
    <row r="15" spans="2:17" s="55" customFormat="1" ht="48" customHeight="1" x14ac:dyDescent="0.2">
      <c r="B15" s="1035" t="s">
        <v>42</v>
      </c>
      <c r="C15" s="1023" t="s">
        <v>789</v>
      </c>
      <c r="D15" s="1023" t="s">
        <v>790</v>
      </c>
      <c r="E15" s="1023" t="s">
        <v>791</v>
      </c>
      <c r="F15" s="1023" t="s">
        <v>931</v>
      </c>
      <c r="G15" s="1023" t="s">
        <v>932</v>
      </c>
      <c r="H15" s="1023" t="s">
        <v>937</v>
      </c>
      <c r="I15" s="1023" t="s">
        <v>938</v>
      </c>
      <c r="J15" s="1037">
        <v>3400</v>
      </c>
      <c r="K15" s="1037">
        <v>3475</v>
      </c>
      <c r="L15" s="1037">
        <v>3475</v>
      </c>
      <c r="M15" s="1037">
        <v>3000</v>
      </c>
      <c r="N15" s="1037">
        <f t="shared" si="0"/>
        <v>-475</v>
      </c>
      <c r="O15" s="1037">
        <v>2550</v>
      </c>
      <c r="P15" s="1037">
        <f t="shared" si="1"/>
        <v>-450</v>
      </c>
      <c r="Q15" s="61"/>
    </row>
    <row r="16" spans="2:17" s="55" customFormat="1" ht="46.5" customHeight="1" x14ac:dyDescent="0.2">
      <c r="B16" s="1035" t="s">
        <v>42</v>
      </c>
      <c r="C16" s="1023" t="s">
        <v>789</v>
      </c>
      <c r="D16" s="1023" t="s">
        <v>790</v>
      </c>
      <c r="E16" s="1023" t="s">
        <v>791</v>
      </c>
      <c r="F16" s="1023" t="s">
        <v>939</v>
      </c>
      <c r="G16" s="1023" t="s">
        <v>940</v>
      </c>
      <c r="H16" s="1023" t="s">
        <v>941</v>
      </c>
      <c r="I16" s="1023" t="s">
        <v>942</v>
      </c>
      <c r="J16" s="1037">
        <v>1</v>
      </c>
      <c r="K16" s="1037">
        <v>0</v>
      </c>
      <c r="L16" s="1037">
        <v>0</v>
      </c>
      <c r="M16" s="1037">
        <v>0</v>
      </c>
      <c r="N16" s="1037">
        <f t="shared" si="0"/>
        <v>0</v>
      </c>
      <c r="O16" s="1037">
        <v>0</v>
      </c>
      <c r="P16" s="1037">
        <f t="shared" si="1"/>
        <v>0</v>
      </c>
      <c r="Q16" s="61"/>
    </row>
    <row r="17" spans="2:17" s="55" customFormat="1" ht="45.75" customHeight="1" x14ac:dyDescent="0.2">
      <c r="B17" s="1035" t="s">
        <v>943</v>
      </c>
      <c r="C17" s="1023" t="s">
        <v>944</v>
      </c>
      <c r="D17" s="1023" t="s">
        <v>790</v>
      </c>
      <c r="E17" s="1023" t="s">
        <v>791</v>
      </c>
      <c r="F17" s="1023" t="s">
        <v>945</v>
      </c>
      <c r="G17" s="1023" t="s">
        <v>946</v>
      </c>
      <c r="H17" s="1023" t="s">
        <v>947</v>
      </c>
      <c r="I17" s="1023" t="s">
        <v>948</v>
      </c>
      <c r="J17" s="1037">
        <v>38613</v>
      </c>
      <c r="K17" s="1037">
        <v>0</v>
      </c>
      <c r="L17" s="1037">
        <v>0</v>
      </c>
      <c r="M17" s="1037">
        <v>0</v>
      </c>
      <c r="N17" s="1037">
        <f t="shared" si="0"/>
        <v>0</v>
      </c>
      <c r="O17" s="1037">
        <v>0</v>
      </c>
      <c r="P17" s="1037">
        <f t="shared" si="1"/>
        <v>0</v>
      </c>
      <c r="Q17" s="977" t="s">
        <v>1042</v>
      </c>
    </row>
    <row r="18" spans="2:17" s="55" customFormat="1" ht="31.5" customHeight="1" x14ac:dyDescent="0.2">
      <c r="B18" s="1024"/>
      <c r="C18" s="1019"/>
      <c r="D18" s="1019"/>
      <c r="E18" s="1019"/>
      <c r="F18" s="1019"/>
      <c r="G18" s="1019"/>
      <c r="H18" s="1019"/>
      <c r="I18" s="1019"/>
      <c r="J18" s="1019"/>
      <c r="K18" s="1020"/>
      <c r="L18" s="1020"/>
      <c r="M18" s="1020"/>
      <c r="N18" s="1020"/>
      <c r="O18" s="1021"/>
      <c r="P18" s="1022"/>
      <c r="Q18" s="61"/>
    </row>
    <row r="19" spans="2:17" s="55" customFormat="1" ht="31.5" customHeight="1" x14ac:dyDescent="0.2">
      <c r="B19" s="57"/>
      <c r="C19" s="58"/>
      <c r="D19" s="58"/>
      <c r="E19" s="58"/>
      <c r="F19" s="58"/>
      <c r="G19" s="58"/>
      <c r="H19" s="58"/>
      <c r="I19" s="58"/>
      <c r="J19" s="58"/>
      <c r="K19" s="59"/>
      <c r="L19" s="59"/>
      <c r="M19" s="59"/>
      <c r="N19" s="59"/>
      <c r="O19" s="60"/>
      <c r="P19" s="60"/>
      <c r="Q19" s="61"/>
    </row>
    <row r="20" spans="2:17" s="55" customFormat="1" ht="31.5" customHeight="1" x14ac:dyDescent="0.2">
      <c r="B20" s="57"/>
      <c r="C20" s="58"/>
      <c r="D20" s="58"/>
      <c r="E20" s="58"/>
      <c r="F20" s="58"/>
      <c r="G20" s="58"/>
      <c r="H20" s="58"/>
      <c r="I20" s="58"/>
      <c r="J20" s="58"/>
      <c r="K20" s="59"/>
      <c r="L20" s="59"/>
      <c r="M20" s="59"/>
      <c r="N20" s="59"/>
      <c r="O20" s="60"/>
      <c r="P20" s="60"/>
      <c r="Q20" s="61"/>
    </row>
    <row r="21" spans="2:17" s="55" customFormat="1" ht="31.5" customHeight="1" x14ac:dyDescent="0.2">
      <c r="B21" s="57"/>
      <c r="C21" s="58"/>
      <c r="D21" s="58"/>
      <c r="E21" s="58"/>
      <c r="F21" s="58"/>
      <c r="G21" s="58"/>
      <c r="H21" s="58"/>
      <c r="I21" s="58"/>
      <c r="J21" s="58"/>
      <c r="K21" s="59"/>
      <c r="L21" s="59"/>
      <c r="M21" s="59"/>
      <c r="N21" s="59"/>
      <c r="O21" s="60"/>
      <c r="P21" s="60"/>
      <c r="Q21" s="61"/>
    </row>
    <row r="22" spans="2:17" s="55" customFormat="1" ht="31.5" customHeight="1" x14ac:dyDescent="0.2">
      <c r="B22" s="57"/>
      <c r="C22" s="58"/>
      <c r="D22" s="58"/>
      <c r="E22" s="58"/>
      <c r="F22" s="58"/>
      <c r="G22" s="58"/>
      <c r="H22" s="58"/>
      <c r="I22" s="58"/>
      <c r="J22" s="58"/>
      <c r="K22" s="59"/>
      <c r="L22" s="59"/>
      <c r="M22" s="59"/>
      <c r="N22" s="59"/>
      <c r="O22" s="60"/>
      <c r="P22" s="60"/>
      <c r="Q22" s="61"/>
    </row>
    <row r="23" spans="2:17" s="55" customFormat="1" ht="31.5" customHeight="1" thickBot="1" x14ac:dyDescent="0.25">
      <c r="B23" s="62"/>
      <c r="C23" s="63"/>
      <c r="D23" s="63"/>
      <c r="E23" s="63"/>
      <c r="F23" s="63"/>
      <c r="G23" s="63"/>
      <c r="H23" s="63"/>
      <c r="I23" s="63"/>
      <c r="J23" s="63"/>
      <c r="K23" s="64"/>
      <c r="L23" s="64"/>
      <c r="M23" s="64"/>
      <c r="N23" s="64"/>
      <c r="O23" s="64"/>
      <c r="P23" s="64"/>
      <c r="Q23" s="65"/>
    </row>
  </sheetData>
  <mergeCells count="1">
    <mergeCell ref="B4:C4"/>
  </mergeCells>
  <printOptions horizontalCentered="1"/>
  <pageMargins left="0.16" right="0.16" top="0.34" bottom="0.4" header="0.18" footer="0.23"/>
  <pageSetup paperSize="5" scale="73"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X67"/>
  <sheetViews>
    <sheetView showGridLines="0" view="pageBreakPreview" topLeftCell="B1" zoomScale="60" zoomScaleNormal="80" zoomScalePageLayoutView="80" workbookViewId="0">
      <selection activeCell="D37" sqref="D37"/>
    </sheetView>
  </sheetViews>
  <sheetFormatPr defaultColWidth="7.85546875" defaultRowHeight="14.25" x14ac:dyDescent="0.2"/>
  <cols>
    <col min="1" max="1" width="5" style="3" hidden="1" customWidth="1"/>
    <col min="2" max="2" width="5.85546875" style="3" customWidth="1"/>
    <col min="3" max="3" width="10.42578125" style="3" customWidth="1"/>
    <col min="4" max="4" width="74.28515625" style="3" bestFit="1" customWidth="1"/>
    <col min="5" max="5" width="10.42578125" style="3" customWidth="1"/>
    <col min="6" max="7" width="9.42578125" style="3" customWidth="1"/>
    <col min="8" max="8" width="8.85546875" style="3" customWidth="1"/>
    <col min="9" max="9" width="15.7109375" style="3" customWidth="1"/>
    <col min="10" max="10" width="12.28515625" style="3" customWidth="1"/>
    <col min="11" max="11" width="12.140625" style="3" customWidth="1"/>
    <col min="12" max="12" width="14" style="3" customWidth="1"/>
    <col min="13" max="13" width="14.7109375" style="3" customWidth="1"/>
    <col min="14" max="14" width="14.42578125" style="3" customWidth="1"/>
    <col min="15" max="15" width="11" style="3" customWidth="1"/>
    <col min="16" max="16" width="13" style="3" bestFit="1" customWidth="1"/>
    <col min="17" max="17" width="11.85546875" style="3" customWidth="1"/>
    <col min="18" max="18" width="12.42578125" style="3" bestFit="1" customWidth="1"/>
    <col min="19" max="19" width="11.28515625" style="3" customWidth="1"/>
    <col min="20" max="20" width="15.140625" style="3" bestFit="1" customWidth="1"/>
    <col min="21" max="22" width="11.28515625" style="3" customWidth="1"/>
    <col min="23" max="23" width="12.28515625" style="3" customWidth="1"/>
    <col min="24" max="24" width="11.28515625" style="3" customWidth="1"/>
    <col min="25" max="25" width="4.7109375" style="3" customWidth="1"/>
    <col min="26" max="26" width="10" style="3" customWidth="1"/>
    <col min="27" max="16384" width="7.85546875" style="3"/>
  </cols>
  <sheetData>
    <row r="2" spans="2:24" ht="27.75" customHeight="1" x14ac:dyDescent="0.3">
      <c r="B2" s="66" t="s">
        <v>57</v>
      </c>
    </row>
    <row r="3" spans="2:24" ht="15.75" thickBot="1" x14ac:dyDescent="0.25">
      <c r="B3" s="37" t="s">
        <v>759</v>
      </c>
      <c r="P3" s="302"/>
      <c r="Q3" s="744"/>
    </row>
    <row r="4" spans="2:24" ht="18.75" customHeight="1" thickBot="1" x14ac:dyDescent="0.3">
      <c r="B4" s="67" t="s">
        <v>58</v>
      </c>
      <c r="C4" s="68"/>
      <c r="D4" s="69"/>
      <c r="E4" s="69"/>
      <c r="F4" s="69"/>
      <c r="G4" s="69"/>
      <c r="H4" s="70"/>
      <c r="I4" s="71"/>
      <c r="P4" s="302"/>
      <c r="Q4" s="97"/>
    </row>
    <row r="5" spans="2:24" ht="18.75" customHeight="1" thickBot="1" x14ac:dyDescent="0.3">
      <c r="B5" s="72" t="s">
        <v>59</v>
      </c>
      <c r="C5" s="73"/>
      <c r="D5" s="74"/>
      <c r="E5" s="74"/>
      <c r="F5" s="74"/>
      <c r="G5" s="74"/>
      <c r="H5" s="75"/>
      <c r="I5" s="76"/>
      <c r="P5" s="302"/>
      <c r="Q5" s="97"/>
    </row>
    <row r="6" spans="2:24" ht="18.75" customHeight="1" x14ac:dyDescent="0.25">
      <c r="B6" s="1077" t="s">
        <v>60</v>
      </c>
      <c r="C6" s="1077"/>
      <c r="D6" s="1077"/>
      <c r="E6" s="1077"/>
      <c r="F6" s="1077"/>
      <c r="G6" s="1077"/>
      <c r="H6" s="1077"/>
      <c r="I6" s="1077"/>
      <c r="J6" s="1077"/>
      <c r="K6" s="1077"/>
      <c r="L6" s="77"/>
      <c r="R6" s="78"/>
      <c r="S6" s="78"/>
      <c r="T6" s="47"/>
    </row>
    <row r="7" spans="2:24" x14ac:dyDescent="0.2">
      <c r="B7" s="54"/>
      <c r="C7" s="54"/>
      <c r="D7" s="54"/>
      <c r="E7" s="54"/>
      <c r="F7" s="54"/>
      <c r="G7" s="54"/>
      <c r="H7" s="54"/>
      <c r="I7" s="54"/>
      <c r="J7" s="54"/>
      <c r="K7" s="54"/>
      <c r="L7" s="54"/>
      <c r="M7" s="54"/>
      <c r="N7" s="54"/>
      <c r="O7" s="54"/>
      <c r="P7" s="54"/>
      <c r="Q7" s="54"/>
      <c r="R7" s="54"/>
      <c r="S7" s="54"/>
      <c r="T7" s="54"/>
      <c r="U7" s="54"/>
      <c r="V7" s="54"/>
      <c r="W7" s="54"/>
      <c r="X7" s="54"/>
    </row>
    <row r="8" spans="2:24" ht="22.5" customHeight="1" x14ac:dyDescent="0.25">
      <c r="B8" s="79" t="s">
        <v>61</v>
      </c>
      <c r="C8" s="54"/>
      <c r="D8" s="54"/>
      <c r="E8" s="54"/>
      <c r="F8" s="54"/>
      <c r="G8" s="54"/>
      <c r="H8" s="54"/>
      <c r="I8" s="54"/>
      <c r="J8" s="54"/>
      <c r="K8" s="54"/>
      <c r="L8" s="54"/>
      <c r="M8" s="54"/>
      <c r="N8" s="54"/>
      <c r="O8" s="54"/>
      <c r="P8" s="54"/>
      <c r="Q8" s="54"/>
      <c r="R8" s="54"/>
      <c r="S8" s="54"/>
      <c r="T8" s="54"/>
      <c r="U8" s="54"/>
      <c r="V8" s="54"/>
      <c r="W8" s="54"/>
      <c r="X8" s="54"/>
    </row>
    <row r="9" spans="2:24" s="5" customFormat="1" ht="59.25" customHeight="1" x14ac:dyDescent="0.2">
      <c r="B9" s="93" t="s">
        <v>62</v>
      </c>
      <c r="C9" s="93" t="s">
        <v>952</v>
      </c>
      <c r="D9" s="93" t="s">
        <v>63</v>
      </c>
      <c r="E9" s="93" t="s">
        <v>64</v>
      </c>
      <c r="F9" s="93" t="s">
        <v>65</v>
      </c>
      <c r="G9" s="93" t="s">
        <v>66</v>
      </c>
      <c r="H9" s="93" t="s">
        <v>67</v>
      </c>
      <c r="I9" s="94" t="s">
        <v>68</v>
      </c>
      <c r="J9" s="93" t="s">
        <v>69</v>
      </c>
      <c r="K9" s="93" t="s">
        <v>70</v>
      </c>
      <c r="L9" s="93" t="s">
        <v>71</v>
      </c>
      <c r="M9" s="93" t="s">
        <v>72</v>
      </c>
      <c r="N9" s="93" t="s">
        <v>73</v>
      </c>
      <c r="O9" s="93" t="s">
        <v>74</v>
      </c>
      <c r="P9" s="93" t="s">
        <v>75</v>
      </c>
      <c r="Q9" s="93" t="s">
        <v>76</v>
      </c>
      <c r="R9" s="93" t="s">
        <v>77</v>
      </c>
      <c r="S9" s="93" t="s">
        <v>78</v>
      </c>
      <c r="T9" s="93" t="s">
        <v>79</v>
      </c>
      <c r="U9" s="93" t="s">
        <v>80</v>
      </c>
      <c r="V9" s="93" t="s">
        <v>81</v>
      </c>
      <c r="W9" s="93" t="s">
        <v>82</v>
      </c>
    </row>
    <row r="10" spans="2:24" s="302" customFormat="1" ht="17.25" customHeight="1" x14ac:dyDescent="0.25">
      <c r="B10" s="1008">
        <v>1</v>
      </c>
      <c r="C10" s="1008" t="s">
        <v>85</v>
      </c>
      <c r="D10" s="915" t="s">
        <v>991</v>
      </c>
      <c r="E10" s="1009"/>
      <c r="F10" s="1009"/>
      <c r="G10" s="915">
        <v>60136</v>
      </c>
      <c r="H10" s="915">
        <v>805001</v>
      </c>
      <c r="I10" s="915" t="s">
        <v>1024</v>
      </c>
      <c r="J10" s="1010">
        <v>500</v>
      </c>
      <c r="K10" s="915"/>
      <c r="L10" s="1011">
        <f>J10*K10</f>
        <v>0</v>
      </c>
      <c r="M10" s="915"/>
      <c r="N10" s="1010">
        <v>500</v>
      </c>
      <c r="O10" s="915">
        <v>5</v>
      </c>
      <c r="P10" s="1010">
        <f>N10*O10</f>
        <v>2500</v>
      </c>
      <c r="Q10" s="1012"/>
      <c r="R10" s="1010">
        <v>500</v>
      </c>
      <c r="S10" s="915"/>
      <c r="T10" s="1011">
        <f>R10*S10</f>
        <v>0</v>
      </c>
      <c r="U10" s="1012"/>
      <c r="V10" s="1009"/>
      <c r="W10" s="1011">
        <v>0</v>
      </c>
    </row>
    <row r="11" spans="2:24" s="302" customFormat="1" ht="17.25" customHeight="1" x14ac:dyDescent="0.25">
      <c r="B11" s="1008">
        <v>2</v>
      </c>
      <c r="C11" s="1008" t="s">
        <v>85</v>
      </c>
      <c r="D11" s="915" t="s">
        <v>992</v>
      </c>
      <c r="E11" s="1009"/>
      <c r="F11" s="1009"/>
      <c r="G11" s="915">
        <v>60136</v>
      </c>
      <c r="H11" s="915">
        <v>805001</v>
      </c>
      <c r="I11" s="915" t="s">
        <v>1024</v>
      </c>
      <c r="J11" s="1010">
        <v>500</v>
      </c>
      <c r="K11" s="915"/>
      <c r="L11" s="1011">
        <f t="shared" ref="L11:L44" si="0">J11*K11</f>
        <v>0</v>
      </c>
      <c r="M11" s="915"/>
      <c r="N11" s="1010">
        <v>500</v>
      </c>
      <c r="O11" s="915">
        <v>4</v>
      </c>
      <c r="P11" s="1010">
        <f t="shared" ref="P11:P44" si="1">N11*O11</f>
        <v>2000</v>
      </c>
      <c r="Q11" s="1012"/>
      <c r="R11" s="1010">
        <v>500</v>
      </c>
      <c r="S11" s="915"/>
      <c r="T11" s="1011">
        <f t="shared" ref="T11:T44" si="2">R11*S11</f>
        <v>0</v>
      </c>
      <c r="U11" s="1012"/>
      <c r="V11" s="1009"/>
      <c r="W11" s="1011"/>
    </row>
    <row r="12" spans="2:24" s="302" customFormat="1" ht="17.25" customHeight="1" x14ac:dyDescent="0.25">
      <c r="B12" s="1008">
        <v>3</v>
      </c>
      <c r="C12" s="1008" t="s">
        <v>85</v>
      </c>
      <c r="D12" s="915" t="s">
        <v>993</v>
      </c>
      <c r="E12" s="1009"/>
      <c r="F12" s="1009"/>
      <c r="G12" s="915">
        <v>60136</v>
      </c>
      <c r="H12" s="915">
        <v>805001</v>
      </c>
      <c r="I12" s="915" t="s">
        <v>1024</v>
      </c>
      <c r="J12" s="1010">
        <v>500</v>
      </c>
      <c r="K12" s="915"/>
      <c r="L12" s="1011">
        <f t="shared" si="0"/>
        <v>0</v>
      </c>
      <c r="M12" s="915"/>
      <c r="N12" s="1010">
        <v>500</v>
      </c>
      <c r="O12" s="915"/>
      <c r="P12" s="1010">
        <f t="shared" si="1"/>
        <v>0</v>
      </c>
      <c r="Q12" s="1012"/>
      <c r="R12" s="1010">
        <v>500</v>
      </c>
      <c r="S12" s="915"/>
      <c r="T12" s="1011">
        <f t="shared" si="2"/>
        <v>0</v>
      </c>
      <c r="U12" s="1012"/>
      <c r="V12" s="1009"/>
      <c r="W12" s="1011"/>
    </row>
    <row r="13" spans="2:24" s="302" customFormat="1" ht="17.25" customHeight="1" x14ac:dyDescent="0.25">
      <c r="B13" s="1008">
        <v>4</v>
      </c>
      <c r="C13" s="1008" t="s">
        <v>85</v>
      </c>
      <c r="D13" s="915" t="s">
        <v>994</v>
      </c>
      <c r="E13" s="1009"/>
      <c r="F13" s="1009"/>
      <c r="G13" s="915">
        <v>60136</v>
      </c>
      <c r="H13" s="915">
        <v>805001</v>
      </c>
      <c r="I13" s="915" t="s">
        <v>1024</v>
      </c>
      <c r="J13" s="1010">
        <v>500</v>
      </c>
      <c r="K13" s="915"/>
      <c r="L13" s="1011">
        <f t="shared" si="0"/>
        <v>0</v>
      </c>
      <c r="M13" s="915"/>
      <c r="N13" s="1010">
        <v>500</v>
      </c>
      <c r="O13" s="915">
        <v>2</v>
      </c>
      <c r="P13" s="1010">
        <f t="shared" si="1"/>
        <v>1000</v>
      </c>
      <c r="Q13" s="1012"/>
      <c r="R13" s="1010">
        <v>500</v>
      </c>
      <c r="S13" s="915"/>
      <c r="T13" s="1011">
        <f t="shared" si="2"/>
        <v>0</v>
      </c>
      <c r="U13" s="1012"/>
      <c r="V13" s="1009"/>
      <c r="W13" s="1011"/>
    </row>
    <row r="14" spans="2:24" s="302" customFormat="1" ht="17.25" customHeight="1" x14ac:dyDescent="0.25">
      <c r="B14" s="1008">
        <v>5</v>
      </c>
      <c r="C14" s="1008" t="s">
        <v>85</v>
      </c>
      <c r="D14" s="915" t="s">
        <v>995</v>
      </c>
      <c r="E14" s="1009"/>
      <c r="F14" s="1009"/>
      <c r="G14" s="915">
        <v>60136</v>
      </c>
      <c r="H14" s="915">
        <v>805001</v>
      </c>
      <c r="I14" s="915" t="s">
        <v>1024</v>
      </c>
      <c r="J14" s="1010">
        <v>500</v>
      </c>
      <c r="K14" s="915"/>
      <c r="L14" s="1011">
        <f t="shared" si="0"/>
        <v>0</v>
      </c>
      <c r="M14" s="915"/>
      <c r="N14" s="1010">
        <v>500</v>
      </c>
      <c r="O14" s="915"/>
      <c r="P14" s="1010">
        <f t="shared" si="1"/>
        <v>0</v>
      </c>
      <c r="Q14" s="1012"/>
      <c r="R14" s="1010">
        <v>500</v>
      </c>
      <c r="S14" s="915"/>
      <c r="T14" s="1011">
        <f t="shared" si="2"/>
        <v>0</v>
      </c>
      <c r="U14" s="1012"/>
      <c r="V14" s="1009"/>
      <c r="W14" s="1011"/>
    </row>
    <row r="15" spans="2:24" s="302" customFormat="1" ht="17.25" customHeight="1" x14ac:dyDescent="0.25">
      <c r="B15" s="1008">
        <v>6</v>
      </c>
      <c r="C15" s="1008" t="s">
        <v>85</v>
      </c>
      <c r="D15" s="915" t="s">
        <v>996</v>
      </c>
      <c r="E15" s="1009"/>
      <c r="F15" s="1009"/>
      <c r="G15" s="915">
        <v>60136</v>
      </c>
      <c r="H15" s="915">
        <v>805001</v>
      </c>
      <c r="I15" s="915" t="s">
        <v>1024</v>
      </c>
      <c r="J15" s="1010">
        <v>500</v>
      </c>
      <c r="K15" s="915"/>
      <c r="L15" s="1011">
        <f t="shared" si="0"/>
        <v>0</v>
      </c>
      <c r="M15" s="915"/>
      <c r="N15" s="1010">
        <v>500</v>
      </c>
      <c r="O15" s="915">
        <v>2</v>
      </c>
      <c r="P15" s="1010">
        <f t="shared" si="1"/>
        <v>1000</v>
      </c>
      <c r="Q15" s="1012"/>
      <c r="R15" s="1010">
        <v>500</v>
      </c>
      <c r="S15" s="915"/>
      <c r="T15" s="1011">
        <f t="shared" si="2"/>
        <v>0</v>
      </c>
      <c r="U15" s="1012"/>
      <c r="V15" s="1009"/>
      <c r="W15" s="1011"/>
    </row>
    <row r="16" spans="2:24" s="302" customFormat="1" ht="17.25" customHeight="1" x14ac:dyDescent="0.25">
      <c r="B16" s="1008">
        <v>7</v>
      </c>
      <c r="C16" s="1008" t="s">
        <v>85</v>
      </c>
      <c r="D16" s="915" t="s">
        <v>997</v>
      </c>
      <c r="E16" s="1009"/>
      <c r="F16" s="1009"/>
      <c r="G16" s="915">
        <v>60136</v>
      </c>
      <c r="H16" s="915">
        <v>805001</v>
      </c>
      <c r="I16" s="915" t="s">
        <v>1024</v>
      </c>
      <c r="J16" s="1010">
        <v>500</v>
      </c>
      <c r="K16" s="915"/>
      <c r="L16" s="1011">
        <f t="shared" si="0"/>
        <v>0</v>
      </c>
      <c r="M16" s="915"/>
      <c r="N16" s="1010">
        <v>500</v>
      </c>
      <c r="O16" s="915"/>
      <c r="P16" s="1010">
        <f t="shared" si="1"/>
        <v>0</v>
      </c>
      <c r="Q16" s="1012"/>
      <c r="R16" s="1010">
        <v>500</v>
      </c>
      <c r="S16" s="915"/>
      <c r="T16" s="1011">
        <f t="shared" si="2"/>
        <v>0</v>
      </c>
      <c r="U16" s="1012"/>
      <c r="V16" s="1009"/>
      <c r="W16" s="1011"/>
    </row>
    <row r="17" spans="2:23" s="302" customFormat="1" ht="17.25" customHeight="1" x14ac:dyDescent="0.25">
      <c r="B17" s="1008">
        <v>8</v>
      </c>
      <c r="C17" s="1008" t="s">
        <v>85</v>
      </c>
      <c r="D17" s="915" t="s">
        <v>998</v>
      </c>
      <c r="E17" s="1009"/>
      <c r="F17" s="1009"/>
      <c r="G17" s="915">
        <v>60136</v>
      </c>
      <c r="H17" s="915">
        <v>805001</v>
      </c>
      <c r="I17" s="915" t="s">
        <v>1024</v>
      </c>
      <c r="J17" s="1010">
        <v>500</v>
      </c>
      <c r="K17" s="915"/>
      <c r="L17" s="1011">
        <f t="shared" si="0"/>
        <v>0</v>
      </c>
      <c r="M17" s="915"/>
      <c r="N17" s="1010">
        <v>500</v>
      </c>
      <c r="O17" s="915">
        <v>4</v>
      </c>
      <c r="P17" s="1010">
        <f t="shared" si="1"/>
        <v>2000</v>
      </c>
      <c r="Q17" s="1012"/>
      <c r="R17" s="1010">
        <v>500</v>
      </c>
      <c r="S17" s="915"/>
      <c r="T17" s="1011">
        <f t="shared" si="2"/>
        <v>0</v>
      </c>
      <c r="U17" s="1012"/>
      <c r="V17" s="1009"/>
      <c r="W17" s="1011"/>
    </row>
    <row r="18" spans="2:23" s="302" customFormat="1" ht="17.25" customHeight="1" x14ac:dyDescent="0.25">
      <c r="B18" s="1008">
        <v>9</v>
      </c>
      <c r="C18" s="1008" t="s">
        <v>85</v>
      </c>
      <c r="D18" s="915" t="s">
        <v>999</v>
      </c>
      <c r="E18" s="1009"/>
      <c r="F18" s="1009"/>
      <c r="G18" s="915">
        <v>60136</v>
      </c>
      <c r="H18" s="915">
        <v>805001</v>
      </c>
      <c r="I18" s="915" t="s">
        <v>1024</v>
      </c>
      <c r="J18" s="1010">
        <v>500</v>
      </c>
      <c r="K18" s="915"/>
      <c r="L18" s="1011">
        <f t="shared" si="0"/>
        <v>0</v>
      </c>
      <c r="M18" s="915"/>
      <c r="N18" s="1010">
        <v>500</v>
      </c>
      <c r="O18" s="915"/>
      <c r="P18" s="1010">
        <f t="shared" si="1"/>
        <v>0</v>
      </c>
      <c r="Q18" s="1012"/>
      <c r="R18" s="1010">
        <v>500</v>
      </c>
      <c r="S18" s="915"/>
      <c r="T18" s="1011">
        <f t="shared" si="2"/>
        <v>0</v>
      </c>
      <c r="U18" s="1012"/>
      <c r="V18" s="1009"/>
      <c r="W18" s="1011"/>
    </row>
    <row r="19" spans="2:23" s="302" customFormat="1" ht="17.25" customHeight="1" x14ac:dyDescent="0.25">
      <c r="B19" s="1008">
        <v>10</v>
      </c>
      <c r="C19" s="1008" t="s">
        <v>85</v>
      </c>
      <c r="D19" s="915" t="s">
        <v>1000</v>
      </c>
      <c r="E19" s="1009"/>
      <c r="F19" s="1009"/>
      <c r="G19" s="915">
        <v>60136</v>
      </c>
      <c r="H19" s="915">
        <v>805001</v>
      </c>
      <c r="I19" s="915" t="s">
        <v>1024</v>
      </c>
      <c r="J19" s="1010">
        <v>500</v>
      </c>
      <c r="K19" s="915"/>
      <c r="L19" s="1011">
        <f t="shared" si="0"/>
        <v>0</v>
      </c>
      <c r="M19" s="915"/>
      <c r="N19" s="1010">
        <v>500</v>
      </c>
      <c r="O19" s="915">
        <v>2</v>
      </c>
      <c r="P19" s="1010">
        <f t="shared" si="1"/>
        <v>1000</v>
      </c>
      <c r="Q19" s="1012"/>
      <c r="R19" s="1010">
        <v>500</v>
      </c>
      <c r="S19" s="915"/>
      <c r="T19" s="1011">
        <f t="shared" si="2"/>
        <v>0</v>
      </c>
      <c r="U19" s="1012"/>
      <c r="V19" s="1009"/>
      <c r="W19" s="1011"/>
    </row>
    <row r="20" spans="2:23" s="302" customFormat="1" ht="17.25" customHeight="1" x14ac:dyDescent="0.25">
      <c r="B20" s="1008">
        <v>11</v>
      </c>
      <c r="C20" s="1008" t="s">
        <v>85</v>
      </c>
      <c r="D20" s="915" t="s">
        <v>1001</v>
      </c>
      <c r="E20" s="1009"/>
      <c r="F20" s="1009"/>
      <c r="G20" s="915">
        <v>60136</v>
      </c>
      <c r="H20" s="915">
        <v>805001</v>
      </c>
      <c r="I20" s="915" t="s">
        <v>1024</v>
      </c>
      <c r="J20" s="1010">
        <v>500</v>
      </c>
      <c r="K20" s="915"/>
      <c r="L20" s="1011">
        <f t="shared" si="0"/>
        <v>0</v>
      </c>
      <c r="M20" s="915"/>
      <c r="N20" s="1010">
        <v>500</v>
      </c>
      <c r="O20" s="915"/>
      <c r="P20" s="1010">
        <f t="shared" si="1"/>
        <v>0</v>
      </c>
      <c r="Q20" s="1012"/>
      <c r="R20" s="1010">
        <v>500</v>
      </c>
      <c r="S20" s="915"/>
      <c r="T20" s="1011">
        <f t="shared" si="2"/>
        <v>0</v>
      </c>
      <c r="U20" s="1012"/>
      <c r="V20" s="1009"/>
      <c r="W20" s="1011"/>
    </row>
    <row r="21" spans="2:23" s="302" customFormat="1" ht="17.25" customHeight="1" x14ac:dyDescent="0.25">
      <c r="B21" s="1008">
        <v>12</v>
      </c>
      <c r="C21" s="1008" t="s">
        <v>85</v>
      </c>
      <c r="D21" s="915" t="s">
        <v>1002</v>
      </c>
      <c r="E21" s="1009"/>
      <c r="F21" s="1009"/>
      <c r="G21" s="915">
        <v>60136</v>
      </c>
      <c r="H21" s="915">
        <v>805001</v>
      </c>
      <c r="I21" s="915" t="s">
        <v>1024</v>
      </c>
      <c r="J21" s="1010">
        <v>500</v>
      </c>
      <c r="K21" s="915"/>
      <c r="L21" s="1011">
        <f t="shared" si="0"/>
        <v>0</v>
      </c>
      <c r="M21" s="915"/>
      <c r="N21" s="1010">
        <v>500</v>
      </c>
      <c r="O21" s="915">
        <v>4</v>
      </c>
      <c r="P21" s="1010">
        <f t="shared" si="1"/>
        <v>2000</v>
      </c>
      <c r="Q21" s="1012"/>
      <c r="R21" s="1010">
        <v>500</v>
      </c>
      <c r="S21" s="915"/>
      <c r="T21" s="1011">
        <f t="shared" si="2"/>
        <v>0</v>
      </c>
      <c r="U21" s="1012"/>
      <c r="V21" s="1009"/>
      <c r="W21" s="1011"/>
    </row>
    <row r="22" spans="2:23" s="302" customFormat="1" ht="17.25" customHeight="1" x14ac:dyDescent="0.25">
      <c r="B22" s="1008">
        <v>13</v>
      </c>
      <c r="C22" s="1008" t="s">
        <v>85</v>
      </c>
      <c r="D22" s="915" t="s">
        <v>1003</v>
      </c>
      <c r="E22" s="1009"/>
      <c r="F22" s="1009"/>
      <c r="G22" s="915">
        <v>60136</v>
      </c>
      <c r="H22" s="915">
        <v>805001</v>
      </c>
      <c r="I22" s="915" t="s">
        <v>1024</v>
      </c>
      <c r="J22" s="1010">
        <v>500</v>
      </c>
      <c r="K22" s="915"/>
      <c r="L22" s="1011">
        <f t="shared" si="0"/>
        <v>0</v>
      </c>
      <c r="M22" s="915"/>
      <c r="N22" s="1010">
        <v>500</v>
      </c>
      <c r="O22" s="915"/>
      <c r="P22" s="1010">
        <f t="shared" si="1"/>
        <v>0</v>
      </c>
      <c r="Q22" s="1012"/>
      <c r="R22" s="1010">
        <v>500</v>
      </c>
      <c r="S22" s="915"/>
      <c r="T22" s="1011">
        <f t="shared" si="2"/>
        <v>0</v>
      </c>
      <c r="U22" s="1012"/>
      <c r="V22" s="1009"/>
      <c r="W22" s="1011"/>
    </row>
    <row r="23" spans="2:23" s="302" customFormat="1" ht="17.25" customHeight="1" x14ac:dyDescent="0.25">
      <c r="B23" s="1008">
        <v>14</v>
      </c>
      <c r="C23" s="1008" t="s">
        <v>85</v>
      </c>
      <c r="D23" s="915" t="s">
        <v>1004</v>
      </c>
      <c r="E23" s="1009"/>
      <c r="F23" s="1009"/>
      <c r="G23" s="915">
        <v>60136</v>
      </c>
      <c r="H23" s="915">
        <v>805001</v>
      </c>
      <c r="I23" s="915" t="s">
        <v>1024</v>
      </c>
      <c r="J23" s="1010">
        <v>5048</v>
      </c>
      <c r="K23" s="915"/>
      <c r="L23" s="1011">
        <f t="shared" si="0"/>
        <v>0</v>
      </c>
      <c r="M23" s="915"/>
      <c r="N23" s="1010">
        <v>5048</v>
      </c>
      <c r="O23" s="915"/>
      <c r="P23" s="1010">
        <f t="shared" si="1"/>
        <v>0</v>
      </c>
      <c r="Q23" s="1012"/>
      <c r="R23" s="1010">
        <v>5048</v>
      </c>
      <c r="S23" s="915">
        <v>3</v>
      </c>
      <c r="T23" s="1011">
        <f t="shared" si="2"/>
        <v>15144</v>
      </c>
      <c r="U23" s="1012"/>
      <c r="V23" s="1009"/>
      <c r="W23" s="1011"/>
    </row>
    <row r="24" spans="2:23" s="302" customFormat="1" ht="17.25" customHeight="1" x14ac:dyDescent="0.25">
      <c r="B24" s="1008">
        <v>15</v>
      </c>
      <c r="C24" s="1008" t="s">
        <v>85</v>
      </c>
      <c r="D24" s="915" t="s">
        <v>1005</v>
      </c>
      <c r="E24" s="1009"/>
      <c r="F24" s="1009"/>
      <c r="G24" s="915">
        <v>60136</v>
      </c>
      <c r="H24" s="915">
        <v>805001</v>
      </c>
      <c r="I24" s="915" t="s">
        <v>1024</v>
      </c>
      <c r="J24" s="1010">
        <v>4352</v>
      </c>
      <c r="K24" s="915"/>
      <c r="L24" s="1011">
        <f t="shared" si="0"/>
        <v>0</v>
      </c>
      <c r="M24" s="915"/>
      <c r="N24" s="1010">
        <v>4352</v>
      </c>
      <c r="O24" s="915"/>
      <c r="P24" s="1010">
        <f t="shared" si="1"/>
        <v>0</v>
      </c>
      <c r="Q24" s="1012"/>
      <c r="R24" s="1010">
        <v>4352</v>
      </c>
      <c r="S24" s="915">
        <v>2</v>
      </c>
      <c r="T24" s="1011">
        <f t="shared" si="2"/>
        <v>8704</v>
      </c>
      <c r="U24" s="1012"/>
      <c r="V24" s="1009"/>
      <c r="W24" s="1011"/>
    </row>
    <row r="25" spans="2:23" s="302" customFormat="1" ht="17.25" customHeight="1" x14ac:dyDescent="0.25">
      <c r="B25" s="1008">
        <v>16</v>
      </c>
      <c r="C25" s="1008" t="s">
        <v>85</v>
      </c>
      <c r="D25" s="915" t="s">
        <v>1006</v>
      </c>
      <c r="E25" s="1009"/>
      <c r="F25" s="1009"/>
      <c r="G25" s="915">
        <v>60136</v>
      </c>
      <c r="H25" s="915">
        <v>805001</v>
      </c>
      <c r="I25" s="915" t="s">
        <v>1024</v>
      </c>
      <c r="J25" s="1010">
        <v>3995</v>
      </c>
      <c r="K25" s="915"/>
      <c r="L25" s="1011">
        <f t="shared" si="0"/>
        <v>0</v>
      </c>
      <c r="M25" s="915"/>
      <c r="N25" s="1010">
        <v>3995</v>
      </c>
      <c r="O25" s="915"/>
      <c r="P25" s="1010">
        <f t="shared" si="1"/>
        <v>0</v>
      </c>
      <c r="Q25" s="1012"/>
      <c r="R25" s="1010">
        <v>3995</v>
      </c>
      <c r="S25" s="915">
        <v>3</v>
      </c>
      <c r="T25" s="1011">
        <f t="shared" si="2"/>
        <v>11985</v>
      </c>
      <c r="U25" s="1012"/>
      <c r="V25" s="1009"/>
      <c r="W25" s="1011"/>
    </row>
    <row r="26" spans="2:23" s="302" customFormat="1" ht="17.25" customHeight="1" x14ac:dyDescent="0.25">
      <c r="B26" s="1008">
        <v>17</v>
      </c>
      <c r="C26" s="1008" t="s">
        <v>85</v>
      </c>
      <c r="D26" s="915" t="s">
        <v>1007</v>
      </c>
      <c r="E26" s="1009"/>
      <c r="F26" s="1009"/>
      <c r="G26" s="915">
        <v>60136</v>
      </c>
      <c r="H26" s="915">
        <v>805001</v>
      </c>
      <c r="I26" s="915" t="s">
        <v>1024</v>
      </c>
      <c r="J26" s="1010">
        <v>4218</v>
      </c>
      <c r="K26" s="915">
        <v>2</v>
      </c>
      <c r="L26" s="1011">
        <f t="shared" si="0"/>
        <v>8436</v>
      </c>
      <c r="M26" s="1010">
        <v>4218</v>
      </c>
      <c r="N26" s="1010">
        <v>4218</v>
      </c>
      <c r="O26" s="915"/>
      <c r="P26" s="1010">
        <f t="shared" si="1"/>
        <v>0</v>
      </c>
      <c r="Q26" s="1012"/>
      <c r="R26" s="1010">
        <v>4218</v>
      </c>
      <c r="S26" s="915">
        <v>1</v>
      </c>
      <c r="T26" s="1011">
        <f t="shared" si="2"/>
        <v>4218</v>
      </c>
      <c r="U26" s="1012"/>
      <c r="V26" s="1009"/>
      <c r="W26" s="1011"/>
    </row>
    <row r="27" spans="2:23" s="302" customFormat="1" ht="17.25" customHeight="1" x14ac:dyDescent="0.25">
      <c r="B27" s="1008">
        <v>18</v>
      </c>
      <c r="C27" s="1008" t="s">
        <v>85</v>
      </c>
      <c r="D27" s="915" t="s">
        <v>1008</v>
      </c>
      <c r="E27" s="1009"/>
      <c r="F27" s="1009"/>
      <c r="G27" s="915">
        <v>60136</v>
      </c>
      <c r="H27" s="915">
        <v>805001</v>
      </c>
      <c r="I27" s="915" t="s">
        <v>1024</v>
      </c>
      <c r="J27" s="1010">
        <v>3246</v>
      </c>
      <c r="K27" s="915">
        <v>2</v>
      </c>
      <c r="L27" s="1011">
        <f t="shared" si="0"/>
        <v>6492</v>
      </c>
      <c r="M27" s="1010">
        <v>3246</v>
      </c>
      <c r="N27" s="1010">
        <v>3246</v>
      </c>
      <c r="O27" s="915"/>
      <c r="P27" s="1010">
        <f t="shared" si="1"/>
        <v>0</v>
      </c>
      <c r="Q27" s="1012"/>
      <c r="R27" s="1010">
        <v>3246</v>
      </c>
      <c r="S27" s="915">
        <v>1</v>
      </c>
      <c r="T27" s="1011">
        <f t="shared" si="2"/>
        <v>3246</v>
      </c>
      <c r="U27" s="1012"/>
      <c r="V27" s="1009"/>
      <c r="W27" s="1011"/>
    </row>
    <row r="28" spans="2:23" s="302" customFormat="1" ht="17.25" customHeight="1" x14ac:dyDescent="0.25">
      <c r="B28" s="1008">
        <v>19</v>
      </c>
      <c r="C28" s="1008" t="s">
        <v>85</v>
      </c>
      <c r="D28" s="915" t="s">
        <v>1009</v>
      </c>
      <c r="E28" s="1009"/>
      <c r="F28" s="1009"/>
      <c r="G28" s="915">
        <v>60136</v>
      </c>
      <c r="H28" s="915">
        <v>805001</v>
      </c>
      <c r="I28" s="915" t="s">
        <v>1024</v>
      </c>
      <c r="J28" s="1010">
        <v>3330</v>
      </c>
      <c r="K28" s="915">
        <v>4</v>
      </c>
      <c r="L28" s="1011">
        <f t="shared" si="0"/>
        <v>13320</v>
      </c>
      <c r="M28" s="1010">
        <v>3330</v>
      </c>
      <c r="N28" s="1010">
        <v>3330</v>
      </c>
      <c r="O28" s="915">
        <v>1</v>
      </c>
      <c r="P28" s="1010">
        <f t="shared" si="1"/>
        <v>3330</v>
      </c>
      <c r="Q28" s="1012"/>
      <c r="R28" s="1010">
        <v>3330</v>
      </c>
      <c r="S28" s="915"/>
      <c r="T28" s="1011">
        <f t="shared" si="2"/>
        <v>0</v>
      </c>
      <c r="U28" s="1012"/>
      <c r="V28" s="1009"/>
      <c r="W28" s="1011"/>
    </row>
    <row r="29" spans="2:23" s="302" customFormat="1" ht="17.25" customHeight="1" x14ac:dyDescent="0.25">
      <c r="B29" s="1008">
        <v>20</v>
      </c>
      <c r="C29" s="1008" t="s">
        <v>85</v>
      </c>
      <c r="D29" s="915" t="s">
        <v>1010</v>
      </c>
      <c r="E29" s="1009"/>
      <c r="F29" s="1009"/>
      <c r="G29" s="915">
        <v>60136</v>
      </c>
      <c r="H29" s="915">
        <v>805001</v>
      </c>
      <c r="I29" s="915" t="s">
        <v>1024</v>
      </c>
      <c r="J29" s="1010">
        <v>4011</v>
      </c>
      <c r="K29" s="915"/>
      <c r="L29" s="1011">
        <f t="shared" si="0"/>
        <v>0</v>
      </c>
      <c r="M29" s="915"/>
      <c r="N29" s="1010">
        <v>4011</v>
      </c>
      <c r="O29" s="915">
        <v>1</v>
      </c>
      <c r="P29" s="1010">
        <f t="shared" si="1"/>
        <v>4011</v>
      </c>
      <c r="Q29" s="1012"/>
      <c r="R29" s="1010">
        <v>4011</v>
      </c>
      <c r="S29" s="915"/>
      <c r="T29" s="1011">
        <f t="shared" si="2"/>
        <v>0</v>
      </c>
      <c r="U29" s="1012"/>
      <c r="V29" s="1009"/>
      <c r="W29" s="1011"/>
    </row>
    <row r="30" spans="2:23" s="302" customFormat="1" ht="17.25" customHeight="1" x14ac:dyDescent="0.25">
      <c r="B30" s="1008">
        <v>21</v>
      </c>
      <c r="C30" s="1008" t="s">
        <v>85</v>
      </c>
      <c r="D30" s="915" t="s">
        <v>1011</v>
      </c>
      <c r="E30" s="1009"/>
      <c r="F30" s="1009"/>
      <c r="G30" s="915">
        <v>60136</v>
      </c>
      <c r="H30" s="915">
        <v>805001</v>
      </c>
      <c r="I30" s="915" t="s">
        <v>1024</v>
      </c>
      <c r="J30" s="1010">
        <v>1813</v>
      </c>
      <c r="K30" s="915">
        <v>24</v>
      </c>
      <c r="L30" s="1011">
        <f t="shared" si="0"/>
        <v>43512</v>
      </c>
      <c r="M30" s="915"/>
      <c r="N30" s="1010">
        <v>1813</v>
      </c>
      <c r="O30" s="915"/>
      <c r="P30" s="1010">
        <f t="shared" si="1"/>
        <v>0</v>
      </c>
      <c r="Q30" s="1012"/>
      <c r="R30" s="1010">
        <v>1813</v>
      </c>
      <c r="S30" s="915">
        <v>15</v>
      </c>
      <c r="T30" s="1011">
        <f t="shared" si="2"/>
        <v>27195</v>
      </c>
      <c r="U30" s="1012"/>
      <c r="V30" s="1009"/>
      <c r="W30" s="1011"/>
    </row>
    <row r="31" spans="2:23" s="302" customFormat="1" ht="17.25" customHeight="1" x14ac:dyDescent="0.25">
      <c r="B31" s="1008">
        <v>22</v>
      </c>
      <c r="C31" s="1008" t="s">
        <v>85</v>
      </c>
      <c r="D31" s="915" t="s">
        <v>1012</v>
      </c>
      <c r="E31" s="1009"/>
      <c r="F31" s="1009"/>
      <c r="G31" s="915">
        <v>60136</v>
      </c>
      <c r="H31" s="915">
        <v>805001</v>
      </c>
      <c r="I31" s="915" t="s">
        <v>1025</v>
      </c>
      <c r="J31" s="1010">
        <v>2245</v>
      </c>
      <c r="K31" s="915"/>
      <c r="L31" s="1011">
        <f t="shared" si="0"/>
        <v>0</v>
      </c>
      <c r="M31" s="915"/>
      <c r="N31" s="1010">
        <v>2245</v>
      </c>
      <c r="O31" s="915"/>
      <c r="P31" s="1010">
        <f t="shared" si="1"/>
        <v>0</v>
      </c>
      <c r="Q31" s="1012"/>
      <c r="R31" s="1010">
        <v>2245</v>
      </c>
      <c r="S31" s="915"/>
      <c r="T31" s="1011">
        <f t="shared" si="2"/>
        <v>0</v>
      </c>
      <c r="U31" s="1012"/>
      <c r="V31" s="1009"/>
      <c r="W31" s="1011"/>
    </row>
    <row r="32" spans="2:23" s="302" customFormat="1" ht="17.25" customHeight="1" x14ac:dyDescent="0.25">
      <c r="B32" s="1008">
        <v>23</v>
      </c>
      <c r="C32" s="1008" t="s">
        <v>85</v>
      </c>
      <c r="D32" s="915" t="s">
        <v>1013</v>
      </c>
      <c r="E32" s="1009"/>
      <c r="F32" s="1009"/>
      <c r="G32" s="915">
        <v>60136</v>
      </c>
      <c r="H32" s="915">
        <v>805001</v>
      </c>
      <c r="I32" s="915" t="s">
        <v>1025</v>
      </c>
      <c r="J32" s="1010">
        <v>1305</v>
      </c>
      <c r="K32" s="915">
        <v>2</v>
      </c>
      <c r="L32" s="1011">
        <f t="shared" si="0"/>
        <v>2610</v>
      </c>
      <c r="M32" s="915"/>
      <c r="N32" s="1010">
        <v>2610</v>
      </c>
      <c r="O32" s="915">
        <v>2</v>
      </c>
      <c r="P32" s="1010">
        <f t="shared" si="1"/>
        <v>5220</v>
      </c>
      <c r="Q32" s="1012"/>
      <c r="R32" s="1010">
        <v>2610</v>
      </c>
      <c r="S32" s="915">
        <v>2</v>
      </c>
      <c r="T32" s="1011">
        <f t="shared" si="2"/>
        <v>5220</v>
      </c>
      <c r="U32" s="1012"/>
      <c r="V32" s="1009"/>
      <c r="W32" s="1011"/>
    </row>
    <row r="33" spans="2:23" s="302" customFormat="1" ht="17.25" customHeight="1" x14ac:dyDescent="0.25">
      <c r="B33" s="1008">
        <v>24</v>
      </c>
      <c r="C33" s="1008" t="s">
        <v>85</v>
      </c>
      <c r="D33" s="915" t="s">
        <v>1014</v>
      </c>
      <c r="E33" s="1009"/>
      <c r="F33" s="1009"/>
      <c r="G33" s="915">
        <v>60136</v>
      </c>
      <c r="H33" s="915">
        <v>805001</v>
      </c>
      <c r="I33" s="915" t="s">
        <v>1025</v>
      </c>
      <c r="J33" s="1010">
        <v>941</v>
      </c>
      <c r="K33" s="915">
        <v>4</v>
      </c>
      <c r="L33" s="1011">
        <f t="shared" si="0"/>
        <v>3764</v>
      </c>
      <c r="M33" s="915"/>
      <c r="N33" s="1010">
        <v>3764</v>
      </c>
      <c r="O33" s="915">
        <v>2</v>
      </c>
      <c r="P33" s="1010">
        <f t="shared" si="1"/>
        <v>7528</v>
      </c>
      <c r="Q33" s="1012"/>
      <c r="R33" s="1010">
        <v>3764</v>
      </c>
      <c r="S33" s="915">
        <v>3</v>
      </c>
      <c r="T33" s="1011">
        <f t="shared" si="2"/>
        <v>11292</v>
      </c>
      <c r="U33" s="1012"/>
      <c r="V33" s="1009"/>
      <c r="W33" s="1011"/>
    </row>
    <row r="34" spans="2:23" s="302" customFormat="1" ht="17.25" customHeight="1" x14ac:dyDescent="0.25">
      <c r="B34" s="1008">
        <v>25</v>
      </c>
      <c r="C34" s="1008" t="s">
        <v>85</v>
      </c>
      <c r="D34" s="915" t="s">
        <v>1015</v>
      </c>
      <c r="E34" s="1009"/>
      <c r="F34" s="1009"/>
      <c r="G34" s="915">
        <v>60136</v>
      </c>
      <c r="H34" s="915">
        <v>805001</v>
      </c>
      <c r="I34" s="915" t="s">
        <v>1025</v>
      </c>
      <c r="J34" s="1010">
        <v>2245</v>
      </c>
      <c r="K34" s="915">
        <v>2</v>
      </c>
      <c r="L34" s="1011">
        <f t="shared" si="0"/>
        <v>4490</v>
      </c>
      <c r="M34" s="915"/>
      <c r="N34" s="1010">
        <v>4490</v>
      </c>
      <c r="O34" s="915">
        <v>2</v>
      </c>
      <c r="P34" s="1010">
        <f t="shared" si="1"/>
        <v>8980</v>
      </c>
      <c r="Q34" s="1012"/>
      <c r="R34" s="1010">
        <v>4490</v>
      </c>
      <c r="S34" s="915">
        <v>2</v>
      </c>
      <c r="T34" s="1011">
        <f t="shared" si="2"/>
        <v>8980</v>
      </c>
      <c r="U34" s="1012"/>
      <c r="V34" s="1009"/>
      <c r="W34" s="1011"/>
    </row>
    <row r="35" spans="2:23" s="302" customFormat="1" ht="17.25" customHeight="1" x14ac:dyDescent="0.25">
      <c r="B35" s="1008">
        <v>26</v>
      </c>
      <c r="C35" s="1008" t="s">
        <v>85</v>
      </c>
      <c r="D35" s="915" t="s">
        <v>1016</v>
      </c>
      <c r="E35" s="1009"/>
      <c r="F35" s="1009"/>
      <c r="G35" s="915">
        <v>60136</v>
      </c>
      <c r="H35" s="915">
        <v>805001</v>
      </c>
      <c r="I35" s="915" t="s">
        <v>1025</v>
      </c>
      <c r="J35" s="1010">
        <v>1960</v>
      </c>
      <c r="K35" s="915">
        <v>3</v>
      </c>
      <c r="L35" s="1011">
        <f t="shared" si="0"/>
        <v>5880</v>
      </c>
      <c r="M35" s="915"/>
      <c r="N35" s="1010">
        <v>5880</v>
      </c>
      <c r="O35" s="915">
        <v>2</v>
      </c>
      <c r="P35" s="1010">
        <f t="shared" si="1"/>
        <v>11760</v>
      </c>
      <c r="Q35" s="1012"/>
      <c r="R35" s="1010">
        <v>5880</v>
      </c>
      <c r="S35" s="915">
        <v>2</v>
      </c>
      <c r="T35" s="1011">
        <f t="shared" si="2"/>
        <v>11760</v>
      </c>
      <c r="U35" s="1012"/>
      <c r="V35" s="1009"/>
      <c r="W35" s="1011"/>
    </row>
    <row r="36" spans="2:23" s="302" customFormat="1" ht="17.25" customHeight="1" x14ac:dyDescent="0.25">
      <c r="B36" s="1008">
        <v>27</v>
      </c>
      <c r="C36" s="1008" t="s">
        <v>85</v>
      </c>
      <c r="D36" s="915" t="s">
        <v>1017</v>
      </c>
      <c r="E36" s="1009"/>
      <c r="F36" s="1009"/>
      <c r="G36" s="915">
        <v>60136</v>
      </c>
      <c r="H36" s="915">
        <v>805001</v>
      </c>
      <c r="I36" s="915" t="s">
        <v>1025</v>
      </c>
      <c r="J36" s="1010">
        <v>286</v>
      </c>
      <c r="K36" s="915">
        <v>3</v>
      </c>
      <c r="L36" s="1011">
        <f t="shared" si="0"/>
        <v>858</v>
      </c>
      <c r="M36" s="915"/>
      <c r="N36" s="1010">
        <v>858</v>
      </c>
      <c r="O36" s="915">
        <v>2</v>
      </c>
      <c r="P36" s="1010">
        <f t="shared" si="1"/>
        <v>1716</v>
      </c>
      <c r="Q36" s="1012"/>
      <c r="R36" s="1010">
        <v>858</v>
      </c>
      <c r="S36" s="915">
        <v>3</v>
      </c>
      <c r="T36" s="1011">
        <f t="shared" si="2"/>
        <v>2574</v>
      </c>
      <c r="U36" s="1012"/>
      <c r="V36" s="1009"/>
      <c r="W36" s="1011"/>
    </row>
    <row r="37" spans="2:23" s="302" customFormat="1" ht="17.25" customHeight="1" x14ac:dyDescent="0.25">
      <c r="B37" s="1008">
        <v>28</v>
      </c>
      <c r="C37" s="1008" t="s">
        <v>85</v>
      </c>
      <c r="D37" s="915" t="s">
        <v>1018</v>
      </c>
      <c r="E37" s="1009"/>
      <c r="F37" s="1009"/>
      <c r="G37" s="915">
        <v>60149</v>
      </c>
      <c r="H37" s="915">
        <v>805001</v>
      </c>
      <c r="I37" s="915" t="s">
        <v>1026</v>
      </c>
      <c r="J37" s="1013" t="s">
        <v>951</v>
      </c>
      <c r="K37" s="915"/>
      <c r="L37" s="1011">
        <v>95000</v>
      </c>
      <c r="M37" s="915"/>
      <c r="N37" s="1013" t="s">
        <v>951</v>
      </c>
      <c r="O37" s="915"/>
      <c r="P37" s="1010">
        <v>25000</v>
      </c>
      <c r="Q37" s="1012"/>
      <c r="R37" s="1013" t="s">
        <v>951</v>
      </c>
      <c r="S37" s="915"/>
      <c r="T37" s="1011">
        <v>25000</v>
      </c>
      <c r="U37" s="1012"/>
      <c r="V37" s="1009"/>
      <c r="W37" s="1011"/>
    </row>
    <row r="38" spans="2:23" s="302" customFormat="1" ht="17.25" customHeight="1" x14ac:dyDescent="0.25">
      <c r="B38" s="1008">
        <v>29</v>
      </c>
      <c r="C38" s="1008" t="s">
        <v>85</v>
      </c>
      <c r="D38" s="915" t="s">
        <v>1019</v>
      </c>
      <c r="E38" s="1009"/>
      <c r="F38" s="1009"/>
      <c r="G38" s="915">
        <v>60199</v>
      </c>
      <c r="H38" s="915">
        <v>805001</v>
      </c>
      <c r="I38" s="915" t="s">
        <v>1027</v>
      </c>
      <c r="J38" s="1010">
        <v>200</v>
      </c>
      <c r="K38" s="915">
        <v>2</v>
      </c>
      <c r="L38" s="1011">
        <f t="shared" si="0"/>
        <v>400</v>
      </c>
      <c r="M38" s="915"/>
      <c r="N38" s="1010">
        <v>200</v>
      </c>
      <c r="O38" s="915">
        <v>2</v>
      </c>
      <c r="P38" s="1010">
        <f t="shared" si="1"/>
        <v>400</v>
      </c>
      <c r="Q38" s="1012"/>
      <c r="R38" s="1010">
        <v>200</v>
      </c>
      <c r="S38" s="915">
        <v>2</v>
      </c>
      <c r="T38" s="1011">
        <f t="shared" si="2"/>
        <v>400</v>
      </c>
      <c r="U38" s="1012"/>
      <c r="V38" s="1009"/>
      <c r="W38" s="1011"/>
    </row>
    <row r="39" spans="2:23" s="302" customFormat="1" ht="17.25" customHeight="1" x14ac:dyDescent="0.25">
      <c r="B39" s="1008">
        <v>30</v>
      </c>
      <c r="C39" s="1008" t="s">
        <v>85</v>
      </c>
      <c r="D39" s="915" t="s">
        <v>1020</v>
      </c>
      <c r="E39" s="1009"/>
      <c r="F39" s="1009"/>
      <c r="G39" s="915">
        <v>60199</v>
      </c>
      <c r="H39" s="915">
        <v>805001</v>
      </c>
      <c r="I39" s="915" t="s">
        <v>1027</v>
      </c>
      <c r="J39" s="1010">
        <v>200</v>
      </c>
      <c r="K39" s="915">
        <v>1</v>
      </c>
      <c r="L39" s="1011">
        <f t="shared" si="0"/>
        <v>200</v>
      </c>
      <c r="M39" s="915"/>
      <c r="N39" s="1010">
        <v>200</v>
      </c>
      <c r="O39" s="915">
        <v>1</v>
      </c>
      <c r="P39" s="1010">
        <f t="shared" si="1"/>
        <v>200</v>
      </c>
      <c r="Q39" s="1012"/>
      <c r="R39" s="1010">
        <v>200</v>
      </c>
      <c r="S39" s="915">
        <v>1</v>
      </c>
      <c r="T39" s="1011">
        <f t="shared" si="2"/>
        <v>200</v>
      </c>
      <c r="U39" s="1012"/>
      <c r="V39" s="1009"/>
      <c r="W39" s="1011"/>
    </row>
    <row r="40" spans="2:23" s="302" customFormat="1" ht="17.25" customHeight="1" x14ac:dyDescent="0.25">
      <c r="B40" s="1008">
        <v>31</v>
      </c>
      <c r="C40" s="1008" t="s">
        <v>85</v>
      </c>
      <c r="D40" s="915" t="s">
        <v>1021</v>
      </c>
      <c r="E40" s="1009"/>
      <c r="F40" s="1009"/>
      <c r="G40" s="915">
        <v>60199</v>
      </c>
      <c r="H40" s="915">
        <v>805001</v>
      </c>
      <c r="I40" s="915" t="s">
        <v>1027</v>
      </c>
      <c r="J40" s="1010">
        <v>200</v>
      </c>
      <c r="K40" s="915">
        <v>2</v>
      </c>
      <c r="L40" s="1011">
        <f t="shared" si="0"/>
        <v>400</v>
      </c>
      <c r="M40" s="915"/>
      <c r="N40" s="1010">
        <v>200</v>
      </c>
      <c r="O40" s="915">
        <v>2</v>
      </c>
      <c r="P40" s="1010">
        <f t="shared" si="1"/>
        <v>400</v>
      </c>
      <c r="Q40" s="1012"/>
      <c r="R40" s="1010">
        <v>200</v>
      </c>
      <c r="S40" s="915">
        <v>1</v>
      </c>
      <c r="T40" s="1011">
        <f t="shared" si="2"/>
        <v>200</v>
      </c>
      <c r="U40" s="1012"/>
      <c r="V40" s="1009"/>
      <c r="W40" s="1011"/>
    </row>
    <row r="41" spans="2:23" s="302" customFormat="1" ht="17.25" customHeight="1" x14ac:dyDescent="0.25">
      <c r="B41" s="1008">
        <v>32</v>
      </c>
      <c r="C41" s="1008" t="s">
        <v>85</v>
      </c>
      <c r="D41" s="1014" t="s">
        <v>949</v>
      </c>
      <c r="E41" s="1009"/>
      <c r="F41" s="1009"/>
      <c r="G41" s="915">
        <v>60199</v>
      </c>
      <c r="H41" s="915">
        <v>805001</v>
      </c>
      <c r="I41" s="915" t="s">
        <v>1028</v>
      </c>
      <c r="J41" s="1010">
        <v>0.75</v>
      </c>
      <c r="K41" s="915">
        <v>200</v>
      </c>
      <c r="L41" s="1011">
        <f t="shared" si="0"/>
        <v>150</v>
      </c>
      <c r="M41" s="915"/>
      <c r="N41" s="1010">
        <v>0.75</v>
      </c>
      <c r="O41" s="915">
        <v>200</v>
      </c>
      <c r="P41" s="1010">
        <f t="shared" si="1"/>
        <v>150</v>
      </c>
      <c r="Q41" s="1012"/>
      <c r="R41" s="1010">
        <v>0.75</v>
      </c>
      <c r="S41" s="915">
        <v>200</v>
      </c>
      <c r="T41" s="1011">
        <f t="shared" si="2"/>
        <v>150</v>
      </c>
      <c r="U41" s="1012"/>
      <c r="V41" s="1009"/>
      <c r="W41" s="1011"/>
    </row>
    <row r="42" spans="2:23" s="302" customFormat="1" ht="17.25" customHeight="1" x14ac:dyDescent="0.25">
      <c r="B42" s="1043">
        <v>33</v>
      </c>
      <c r="C42" s="1043" t="s">
        <v>85</v>
      </c>
      <c r="D42" s="1044" t="s">
        <v>1052</v>
      </c>
      <c r="E42" s="1045"/>
      <c r="F42" s="1045"/>
      <c r="G42" s="1044">
        <v>60199</v>
      </c>
      <c r="H42" s="1044">
        <v>805001</v>
      </c>
      <c r="I42" s="1044" t="s">
        <v>1029</v>
      </c>
      <c r="J42" s="1046">
        <v>3</v>
      </c>
      <c r="K42" s="1044">
        <v>200</v>
      </c>
      <c r="L42" s="1047">
        <f t="shared" si="0"/>
        <v>600</v>
      </c>
      <c r="M42" s="1044"/>
      <c r="N42" s="1046"/>
      <c r="O42" s="1044"/>
      <c r="P42" s="1046"/>
      <c r="Q42" s="1048"/>
      <c r="R42" s="1046"/>
      <c r="S42" s="1044"/>
      <c r="T42" s="1047"/>
      <c r="U42" s="1048"/>
      <c r="V42" s="1045"/>
      <c r="W42" s="1047"/>
    </row>
    <row r="43" spans="2:23" s="302" customFormat="1" ht="17.25" customHeight="1" x14ac:dyDescent="0.25">
      <c r="B43" s="1008">
        <v>34</v>
      </c>
      <c r="C43" s="1008" t="s">
        <v>85</v>
      </c>
      <c r="D43" s="915" t="s">
        <v>1022</v>
      </c>
      <c r="E43" s="1009"/>
      <c r="F43" s="1009"/>
      <c r="G43" s="915">
        <v>60199</v>
      </c>
      <c r="H43" s="915">
        <v>805001</v>
      </c>
      <c r="I43" s="915" t="s">
        <v>1030</v>
      </c>
      <c r="J43" s="1010">
        <v>5</v>
      </c>
      <c r="K43" s="915">
        <v>325</v>
      </c>
      <c r="L43" s="1011">
        <f t="shared" si="0"/>
        <v>1625</v>
      </c>
      <c r="M43" s="915"/>
      <c r="N43" s="1010">
        <v>5</v>
      </c>
      <c r="O43" s="915">
        <v>350</v>
      </c>
      <c r="P43" s="1010">
        <f t="shared" si="1"/>
        <v>1750</v>
      </c>
      <c r="Q43" s="1012"/>
      <c r="R43" s="1010">
        <v>5</v>
      </c>
      <c r="S43" s="915">
        <v>300</v>
      </c>
      <c r="T43" s="1011">
        <f t="shared" si="2"/>
        <v>1500</v>
      </c>
      <c r="U43" s="1012"/>
      <c r="V43" s="1009"/>
      <c r="W43" s="1011"/>
    </row>
    <row r="44" spans="2:23" s="302" customFormat="1" ht="17.25" customHeight="1" x14ac:dyDescent="0.25">
      <c r="B44" s="1008">
        <v>35</v>
      </c>
      <c r="C44" s="1008" t="s">
        <v>85</v>
      </c>
      <c r="D44" s="915" t="s">
        <v>1023</v>
      </c>
      <c r="E44" s="1009"/>
      <c r="F44" s="1009"/>
      <c r="G44" s="915">
        <v>60199</v>
      </c>
      <c r="H44" s="915">
        <v>805001</v>
      </c>
      <c r="I44" s="915" t="s">
        <v>1031</v>
      </c>
      <c r="J44" s="1010">
        <v>0.1</v>
      </c>
      <c r="K44" s="915">
        <v>1000</v>
      </c>
      <c r="L44" s="1011">
        <f t="shared" si="0"/>
        <v>100</v>
      </c>
      <c r="M44" s="915"/>
      <c r="N44" s="1010">
        <v>0.1</v>
      </c>
      <c r="O44" s="915">
        <v>1000</v>
      </c>
      <c r="P44" s="1010">
        <f t="shared" si="1"/>
        <v>100</v>
      </c>
      <c r="Q44" s="1012"/>
      <c r="R44" s="1010">
        <v>0.1</v>
      </c>
      <c r="S44" s="915">
        <v>1000</v>
      </c>
      <c r="T44" s="1011">
        <f t="shared" si="2"/>
        <v>100</v>
      </c>
      <c r="U44" s="1012"/>
      <c r="V44" s="1009"/>
      <c r="W44" s="1011"/>
    </row>
    <row r="45" spans="2:23" s="302" customFormat="1" ht="17.25" customHeight="1" x14ac:dyDescent="0.2">
      <c r="B45" s="1008"/>
      <c r="C45" s="1008"/>
      <c r="D45" s="1015" t="s">
        <v>169</v>
      </c>
      <c r="E45" s="1009"/>
      <c r="F45" s="1009"/>
      <c r="G45" s="1008"/>
      <c r="H45" s="1009"/>
      <c r="I45" s="1015"/>
      <c r="J45" s="1011"/>
      <c r="K45" s="1016"/>
      <c r="L45" s="1011">
        <f>SUM(L10:L44)</f>
        <v>187837</v>
      </c>
      <c r="M45" s="1011"/>
      <c r="N45" s="1011"/>
      <c r="O45" s="1017"/>
      <c r="P45" s="1018">
        <f>SUM(P10:P44)</f>
        <v>82045</v>
      </c>
      <c r="Q45" s="1012"/>
      <c r="R45" s="1011"/>
      <c r="S45" s="1017"/>
      <c r="T45" s="1011">
        <f>SUM(T10:T44)</f>
        <v>137868</v>
      </c>
      <c r="U45" s="1012"/>
      <c r="V45" s="1009"/>
      <c r="W45" s="1011"/>
    </row>
    <row r="46" spans="2:23" s="302" customFormat="1" ht="23.25" hidden="1" customHeight="1" x14ac:dyDescent="0.2">
      <c r="B46" s="95"/>
      <c r="C46" s="95"/>
      <c r="D46" s="96"/>
      <c r="E46" s="97"/>
      <c r="F46" s="97"/>
      <c r="G46" s="97"/>
      <c r="H46" s="97"/>
      <c r="I46" s="96"/>
      <c r="J46" s="98"/>
      <c r="K46" s="97"/>
      <c r="L46" s="98"/>
      <c r="M46" s="99"/>
      <c r="N46" s="98"/>
      <c r="O46" s="97"/>
      <c r="P46" s="98"/>
      <c r="Q46" s="100"/>
      <c r="R46" s="98"/>
      <c r="S46" s="97"/>
      <c r="T46" s="98"/>
      <c r="U46" s="100"/>
      <c r="V46" s="97"/>
      <c r="W46" s="98"/>
    </row>
    <row r="47" spans="2:23" ht="17.25" hidden="1" customHeight="1" x14ac:dyDescent="0.25">
      <c r="B47" s="101" t="s">
        <v>83</v>
      </c>
      <c r="C47" s="95"/>
      <c r="D47" s="96"/>
      <c r="E47" s="97"/>
      <c r="F47" s="97"/>
      <c r="G47" s="97"/>
      <c r="H47" s="97"/>
      <c r="I47" s="96"/>
      <c r="J47" s="98"/>
      <c r="K47" s="97"/>
      <c r="L47" s="98"/>
      <c r="M47" s="99"/>
      <c r="N47" s="98"/>
      <c r="O47" s="97"/>
      <c r="P47" s="98"/>
      <c r="Q47" s="100"/>
      <c r="R47" s="98"/>
      <c r="S47" s="97"/>
      <c r="T47" s="98"/>
      <c r="U47" s="100"/>
      <c r="V47" s="97"/>
      <c r="W47" s="98"/>
    </row>
    <row r="48" spans="2:23" ht="59.25" hidden="1" customHeight="1" x14ac:dyDescent="0.2">
      <c r="B48" s="93" t="s">
        <v>62</v>
      </c>
      <c r="C48" s="93" t="s">
        <v>84</v>
      </c>
      <c r="D48" s="93" t="s">
        <v>63</v>
      </c>
      <c r="E48" s="93" t="s">
        <v>64</v>
      </c>
      <c r="F48" s="93" t="s">
        <v>65</v>
      </c>
      <c r="G48" s="93" t="s">
        <v>66</v>
      </c>
      <c r="H48" s="93" t="s">
        <v>67</v>
      </c>
      <c r="I48" s="94" t="s">
        <v>68</v>
      </c>
      <c r="J48" s="93" t="s">
        <v>69</v>
      </c>
      <c r="K48" s="93" t="s">
        <v>70</v>
      </c>
      <c r="L48" s="93" t="s">
        <v>71</v>
      </c>
      <c r="M48" s="93" t="s">
        <v>72</v>
      </c>
      <c r="N48" s="93" t="s">
        <v>73</v>
      </c>
      <c r="O48" s="93" t="s">
        <v>74</v>
      </c>
      <c r="P48" s="93" t="s">
        <v>75</v>
      </c>
      <c r="Q48" s="93" t="s">
        <v>76</v>
      </c>
      <c r="R48" s="93" t="s">
        <v>77</v>
      </c>
      <c r="S48" s="93" t="s">
        <v>78</v>
      </c>
      <c r="T48" s="93" t="s">
        <v>79</v>
      </c>
      <c r="U48" s="93" t="s">
        <v>80</v>
      </c>
      <c r="V48" s="93" t="s">
        <v>81</v>
      </c>
      <c r="W48" s="93" t="s">
        <v>82</v>
      </c>
    </row>
    <row r="49" spans="2:23" ht="17.25" hidden="1" customHeight="1" x14ac:dyDescent="0.2">
      <c r="B49" s="80"/>
      <c r="C49" s="80" t="s">
        <v>85</v>
      </c>
      <c r="D49" s="81"/>
      <c r="E49" s="20"/>
      <c r="F49" s="20"/>
      <c r="G49" s="20"/>
      <c r="H49" s="20"/>
      <c r="I49" s="82"/>
      <c r="J49" s="83">
        <v>0</v>
      </c>
      <c r="K49" s="20"/>
      <c r="L49" s="83">
        <v>0</v>
      </c>
      <c r="M49" s="85"/>
      <c r="N49" s="83">
        <f t="shared" ref="N49:N58" si="3">IF(F49="Yes", J49*(1+$I$4), J49)</f>
        <v>0</v>
      </c>
      <c r="O49" s="20"/>
      <c r="P49" s="83">
        <v>0</v>
      </c>
      <c r="Q49" s="86"/>
      <c r="R49" s="83">
        <f>IF(F49="Yes", N49*(1+#REF!), N49)</f>
        <v>0</v>
      </c>
      <c r="S49" s="20"/>
      <c r="T49" s="83">
        <v>0</v>
      </c>
      <c r="U49" s="86"/>
      <c r="V49" s="20"/>
      <c r="W49" s="83">
        <v>0</v>
      </c>
    </row>
    <row r="50" spans="2:23" ht="17.25" hidden="1" customHeight="1" x14ac:dyDescent="0.2">
      <c r="B50" s="80"/>
      <c r="C50" s="80" t="s">
        <v>85</v>
      </c>
      <c r="D50" s="81"/>
      <c r="E50" s="20"/>
      <c r="F50" s="20"/>
      <c r="G50" s="20"/>
      <c r="H50" s="20"/>
      <c r="I50" s="82"/>
      <c r="J50" s="83">
        <v>0</v>
      </c>
      <c r="K50" s="20"/>
      <c r="L50" s="83">
        <v>0</v>
      </c>
      <c r="M50" s="85"/>
      <c r="N50" s="83">
        <f t="shared" si="3"/>
        <v>0</v>
      </c>
      <c r="O50" s="20"/>
      <c r="P50" s="83">
        <v>0</v>
      </c>
      <c r="Q50" s="86"/>
      <c r="R50" s="83">
        <f>IF(F50="Yes", N50*(1+#REF!), N50)</f>
        <v>0</v>
      </c>
      <c r="S50" s="20"/>
      <c r="T50" s="83">
        <v>0</v>
      </c>
      <c r="U50" s="86"/>
      <c r="V50" s="20"/>
      <c r="W50" s="83">
        <v>0</v>
      </c>
    </row>
    <row r="51" spans="2:23" ht="17.25" hidden="1" customHeight="1" x14ac:dyDescent="0.2">
      <c r="B51" s="80"/>
      <c r="C51" s="80" t="s">
        <v>85</v>
      </c>
      <c r="D51" s="81"/>
      <c r="E51" s="20"/>
      <c r="F51" s="20"/>
      <c r="G51" s="20"/>
      <c r="H51" s="20"/>
      <c r="I51" s="82"/>
      <c r="J51" s="83">
        <v>0</v>
      </c>
      <c r="K51" s="20"/>
      <c r="L51" s="83">
        <v>0</v>
      </c>
      <c r="M51" s="85"/>
      <c r="N51" s="83">
        <f t="shared" si="3"/>
        <v>0</v>
      </c>
      <c r="O51" s="20"/>
      <c r="P51" s="83">
        <v>0</v>
      </c>
      <c r="Q51" s="86"/>
      <c r="R51" s="83">
        <f>IF(F51="Yes", N51*(1+#REF!), N51)</f>
        <v>0</v>
      </c>
      <c r="S51" s="20"/>
      <c r="T51" s="83">
        <v>0</v>
      </c>
      <c r="U51" s="86"/>
      <c r="V51" s="20"/>
      <c r="W51" s="83">
        <v>0</v>
      </c>
    </row>
    <row r="52" spans="2:23" ht="17.25" hidden="1" customHeight="1" x14ac:dyDescent="0.2">
      <c r="B52" s="80"/>
      <c r="C52" s="80" t="s">
        <v>85</v>
      </c>
      <c r="D52" s="81"/>
      <c r="E52" s="20"/>
      <c r="F52" s="20"/>
      <c r="G52" s="20"/>
      <c r="H52" s="20"/>
      <c r="I52" s="82"/>
      <c r="J52" s="83">
        <v>0</v>
      </c>
      <c r="K52" s="20"/>
      <c r="L52" s="83">
        <v>0</v>
      </c>
      <c r="M52" s="85"/>
      <c r="N52" s="83">
        <f t="shared" si="3"/>
        <v>0</v>
      </c>
      <c r="O52" s="20"/>
      <c r="P52" s="83">
        <v>0</v>
      </c>
      <c r="Q52" s="86"/>
      <c r="R52" s="83">
        <f>IF(F52="Yes", N52*(1+#REF!), N52)</f>
        <v>0</v>
      </c>
      <c r="S52" s="20"/>
      <c r="T52" s="83">
        <v>0</v>
      </c>
      <c r="U52" s="86"/>
      <c r="V52" s="20"/>
      <c r="W52" s="83">
        <v>0</v>
      </c>
    </row>
    <row r="53" spans="2:23" ht="17.25" hidden="1" customHeight="1" x14ac:dyDescent="0.2">
      <c r="B53" s="80"/>
      <c r="C53" s="80" t="s">
        <v>85</v>
      </c>
      <c r="D53" s="81"/>
      <c r="E53" s="20"/>
      <c r="F53" s="20"/>
      <c r="G53" s="20"/>
      <c r="H53" s="20"/>
      <c r="I53" s="82"/>
      <c r="J53" s="83">
        <v>0</v>
      </c>
      <c r="K53" s="20"/>
      <c r="L53" s="83">
        <v>0</v>
      </c>
      <c r="M53" s="85"/>
      <c r="N53" s="83">
        <f t="shared" si="3"/>
        <v>0</v>
      </c>
      <c r="O53" s="20"/>
      <c r="P53" s="83">
        <v>0</v>
      </c>
      <c r="Q53" s="86"/>
      <c r="R53" s="83">
        <f>IF(F53="Yes", N53*(1+#REF!), N53)</f>
        <v>0</v>
      </c>
      <c r="S53" s="20"/>
      <c r="T53" s="83">
        <v>0</v>
      </c>
      <c r="U53" s="86"/>
      <c r="V53" s="20"/>
      <c r="W53" s="83">
        <v>0</v>
      </c>
    </row>
    <row r="54" spans="2:23" ht="17.25" hidden="1" customHeight="1" x14ac:dyDescent="0.2">
      <c r="B54" s="80"/>
      <c r="C54" s="80" t="s">
        <v>85</v>
      </c>
      <c r="D54" s="81"/>
      <c r="E54" s="20"/>
      <c r="F54" s="20"/>
      <c r="G54" s="20"/>
      <c r="H54" s="20"/>
      <c r="I54" s="82"/>
      <c r="J54" s="83">
        <v>0</v>
      </c>
      <c r="K54" s="20"/>
      <c r="L54" s="83">
        <v>0</v>
      </c>
      <c r="M54" s="85"/>
      <c r="N54" s="83">
        <f t="shared" si="3"/>
        <v>0</v>
      </c>
      <c r="O54" s="20"/>
      <c r="P54" s="83">
        <v>0</v>
      </c>
      <c r="Q54" s="86"/>
      <c r="R54" s="83">
        <f>IF(F54="Yes", N54*(1+#REF!), N54)</f>
        <v>0</v>
      </c>
      <c r="S54" s="20"/>
      <c r="T54" s="83">
        <v>0</v>
      </c>
      <c r="U54" s="86"/>
      <c r="V54" s="20"/>
      <c r="W54" s="83">
        <v>0</v>
      </c>
    </row>
    <row r="55" spans="2:23" ht="17.25" hidden="1" customHeight="1" x14ac:dyDescent="0.2">
      <c r="B55" s="80"/>
      <c r="C55" s="80" t="s">
        <v>85</v>
      </c>
      <c r="D55" s="81"/>
      <c r="E55" s="20"/>
      <c r="F55" s="20"/>
      <c r="G55" s="20"/>
      <c r="H55" s="20"/>
      <c r="I55" s="82"/>
      <c r="J55" s="83">
        <v>0</v>
      </c>
      <c r="K55" s="20"/>
      <c r="L55" s="83">
        <v>0</v>
      </c>
      <c r="M55" s="85"/>
      <c r="N55" s="83">
        <f t="shared" si="3"/>
        <v>0</v>
      </c>
      <c r="O55" s="20"/>
      <c r="P55" s="83">
        <v>0</v>
      </c>
      <c r="Q55" s="86"/>
      <c r="R55" s="83">
        <f>IF(F55="Yes", N55*(1+#REF!), N55)</f>
        <v>0</v>
      </c>
      <c r="S55" s="20"/>
      <c r="T55" s="83">
        <v>0</v>
      </c>
      <c r="U55" s="86"/>
      <c r="V55" s="20"/>
      <c r="W55" s="83">
        <v>0</v>
      </c>
    </row>
    <row r="56" spans="2:23" ht="17.25" hidden="1" customHeight="1" x14ac:dyDescent="0.2">
      <c r="B56" s="80"/>
      <c r="C56" s="80" t="s">
        <v>85</v>
      </c>
      <c r="D56" s="20"/>
      <c r="E56" s="20"/>
      <c r="F56" s="20"/>
      <c r="G56" s="20"/>
      <c r="H56" s="20"/>
      <c r="I56" s="87"/>
      <c r="J56" s="83">
        <v>0</v>
      </c>
      <c r="K56" s="20"/>
      <c r="L56" s="83">
        <v>0</v>
      </c>
      <c r="M56" s="85"/>
      <c r="N56" s="83">
        <f t="shared" si="3"/>
        <v>0</v>
      </c>
      <c r="O56" s="20"/>
      <c r="P56" s="83">
        <v>0</v>
      </c>
      <c r="Q56" s="20"/>
      <c r="R56" s="83">
        <f>IF(F56="Yes", N56*(1+#REF!), N56)</f>
        <v>0</v>
      </c>
      <c r="S56" s="20"/>
      <c r="T56" s="83">
        <v>0</v>
      </c>
      <c r="U56" s="20"/>
      <c r="V56" s="20"/>
      <c r="W56" s="83">
        <v>0</v>
      </c>
    </row>
    <row r="57" spans="2:23" hidden="1" x14ac:dyDescent="0.2">
      <c r="B57" s="80"/>
      <c r="C57" s="80" t="s">
        <v>85</v>
      </c>
      <c r="D57" s="20"/>
      <c r="E57" s="20"/>
      <c r="F57" s="20"/>
      <c r="G57" s="20"/>
      <c r="H57" s="20"/>
      <c r="I57" s="87"/>
      <c r="J57" s="83">
        <v>0</v>
      </c>
      <c r="K57" s="20"/>
      <c r="L57" s="83">
        <v>0</v>
      </c>
      <c r="M57" s="85"/>
      <c r="N57" s="83">
        <f t="shared" si="3"/>
        <v>0</v>
      </c>
      <c r="O57" s="20"/>
      <c r="P57" s="83">
        <v>0</v>
      </c>
      <c r="Q57" s="20"/>
      <c r="R57" s="83">
        <f>IF(F57="Yes", N57*(1+#REF!), N57)</f>
        <v>0</v>
      </c>
      <c r="S57" s="20"/>
      <c r="T57" s="83">
        <v>0</v>
      </c>
      <c r="U57" s="20"/>
      <c r="V57" s="20"/>
      <c r="W57" s="83">
        <v>0</v>
      </c>
    </row>
    <row r="58" spans="2:23" hidden="1" x14ac:dyDescent="0.2">
      <c r="B58" s="80"/>
      <c r="C58" s="80" t="s">
        <v>85</v>
      </c>
      <c r="D58" s="20"/>
      <c r="E58" s="20"/>
      <c r="F58" s="20"/>
      <c r="G58" s="20"/>
      <c r="H58" s="20"/>
      <c r="I58" s="87"/>
      <c r="J58" s="83">
        <v>0</v>
      </c>
      <c r="K58" s="20"/>
      <c r="L58" s="83">
        <v>0</v>
      </c>
      <c r="M58" s="85"/>
      <c r="N58" s="83">
        <f t="shared" si="3"/>
        <v>0</v>
      </c>
      <c r="O58" s="20"/>
      <c r="P58" s="83">
        <v>0</v>
      </c>
      <c r="Q58" s="20"/>
      <c r="R58" s="83">
        <f>IF(F58="Yes", N58*(1+#REF!), N58)</f>
        <v>0</v>
      </c>
      <c r="S58" s="20"/>
      <c r="T58" s="83">
        <v>0</v>
      </c>
      <c r="U58" s="20"/>
      <c r="V58" s="20"/>
      <c r="W58" s="83">
        <v>0</v>
      </c>
    </row>
    <row r="59" spans="2:23" hidden="1" x14ac:dyDescent="0.2"/>
    <row r="61" spans="2:23" ht="15" x14ac:dyDescent="0.25">
      <c r="C61" s="88" t="s">
        <v>86</v>
      </c>
      <c r="D61" s="3" t="s">
        <v>87</v>
      </c>
    </row>
    <row r="62" spans="2:23" x14ac:dyDescent="0.2">
      <c r="D62" s="3" t="s">
        <v>88</v>
      </c>
    </row>
    <row r="63" spans="2:23" x14ac:dyDescent="0.2">
      <c r="D63" s="3" t="s">
        <v>89</v>
      </c>
    </row>
    <row r="64" spans="2:23" x14ac:dyDescent="0.2">
      <c r="D64" s="3" t="s">
        <v>90</v>
      </c>
    </row>
    <row r="65" spans="2:2" ht="15" x14ac:dyDescent="0.25">
      <c r="B65" s="88" t="s">
        <v>91</v>
      </c>
    </row>
    <row r="66" spans="2:2" ht="15" x14ac:dyDescent="0.25">
      <c r="B66" s="47" t="s">
        <v>92</v>
      </c>
    </row>
    <row r="67" spans="2:2" ht="15" x14ac:dyDescent="0.25">
      <c r="B67" s="47" t="s">
        <v>93</v>
      </c>
    </row>
  </sheetData>
  <mergeCells count="1">
    <mergeCell ref="B6:K6"/>
  </mergeCells>
  <dataValidations count="1">
    <dataValidation type="list" allowBlank="1" showInputMessage="1" showErrorMessage="1" prompt="Yes for Auto CPI Increase as per Code" sqref="F49:F58 F10:F47">
      <formula1>Auto_CPI_Adjust_Yes_No</formula1>
    </dataValidation>
  </dataValidations>
  <printOptions horizontalCentered="1"/>
  <pageMargins left="0.25" right="0.25" top="0.41" bottom="0.27" header="0.3" footer="0.17"/>
  <pageSetup paperSize="5" scale="38" fitToHeight="0" orientation="landscape" r:id="rId1"/>
  <headerFooter alignWithMargins="0"/>
  <colBreaks count="1" manualBreakCount="1">
    <brk id="24" min="1" max="3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S176"/>
  <sheetViews>
    <sheetView view="pageBreakPreview" zoomScale="60" zoomScaleNormal="75" workbookViewId="0">
      <selection activeCell="D5" sqref="D5:E5"/>
    </sheetView>
  </sheetViews>
  <sheetFormatPr defaultColWidth="9.140625" defaultRowHeight="14.25" x14ac:dyDescent="0.2"/>
  <cols>
    <col min="1" max="1" width="9.140625" style="105"/>
    <col min="2" max="2" width="7" style="105" customWidth="1"/>
    <col min="3" max="3" width="30.140625" style="105" customWidth="1"/>
    <col min="4" max="4" width="20.28515625" style="105" customWidth="1"/>
    <col min="5" max="5" width="12.85546875" style="105" customWidth="1"/>
    <col min="6" max="6" width="6.7109375" style="105" customWidth="1"/>
    <col min="7" max="7" width="13.140625" style="105" customWidth="1"/>
    <col min="8" max="8" width="7" style="105" customWidth="1"/>
    <col min="9" max="9" width="32.85546875" style="105" customWidth="1"/>
    <col min="10" max="10" width="17" style="105" customWidth="1"/>
    <col min="11" max="11" width="11.85546875" style="105" customWidth="1"/>
    <col min="12" max="12" width="16.42578125" style="105" customWidth="1"/>
    <col min="13" max="13" width="10.85546875" style="110" customWidth="1"/>
    <col min="14" max="16384" width="9.140625" style="105"/>
  </cols>
  <sheetData>
    <row r="2" spans="2:13" s="103" customFormat="1" ht="33.75" x14ac:dyDescent="0.45">
      <c r="B2" s="650" t="s">
        <v>431</v>
      </c>
      <c r="C2" s="102"/>
      <c r="D2" s="102"/>
      <c r="E2" s="102"/>
      <c r="G2" s="102"/>
      <c r="H2" s="651" t="s">
        <v>432</v>
      </c>
      <c r="K2" s="641"/>
      <c r="L2" s="641"/>
      <c r="M2" s="641"/>
    </row>
    <row r="3" spans="2:13" ht="20.25" x14ac:dyDescent="0.2">
      <c r="B3" s="37" t="s">
        <v>759</v>
      </c>
      <c r="D3" s="652" t="s">
        <v>433</v>
      </c>
      <c r="E3" s="104"/>
      <c r="F3" s="104"/>
      <c r="G3" s="104"/>
      <c r="H3" s="104"/>
      <c r="I3" s="104"/>
      <c r="J3" s="104"/>
      <c r="K3" s="641"/>
      <c r="L3" s="641"/>
      <c r="M3" s="641"/>
    </row>
    <row r="4" spans="2:13" ht="15" x14ac:dyDescent="0.25">
      <c r="B4" s="106"/>
      <c r="C4" s="106"/>
      <c r="D4" s="106"/>
      <c r="E4" s="106"/>
      <c r="F4" s="106"/>
      <c r="G4" s="106"/>
      <c r="H4" s="106"/>
      <c r="I4" s="106"/>
      <c r="J4" s="106"/>
      <c r="K4" s="106"/>
      <c r="L4" s="106"/>
      <c r="M4" s="107"/>
    </row>
    <row r="5" spans="2:13" ht="15" x14ac:dyDescent="0.25">
      <c r="B5" s="108" t="s">
        <v>434</v>
      </c>
      <c r="D5" s="1078" t="s">
        <v>95</v>
      </c>
      <c r="E5" s="1078"/>
      <c r="F5" s="642"/>
      <c r="G5" s="642"/>
      <c r="H5" s="1079" t="s">
        <v>435</v>
      </c>
      <c r="I5" s="1075"/>
      <c r="J5" s="642"/>
      <c r="L5" s="1078" t="s">
        <v>96</v>
      </c>
      <c r="M5" s="1078"/>
    </row>
    <row r="6" spans="2:13" ht="15" x14ac:dyDescent="0.25">
      <c r="B6" s="108" t="s">
        <v>436</v>
      </c>
      <c r="D6" s="653" t="s">
        <v>97</v>
      </c>
      <c r="E6" s="642"/>
      <c r="F6" s="642"/>
      <c r="G6" s="642"/>
      <c r="H6" s="1079" t="s">
        <v>437</v>
      </c>
      <c r="I6" s="1075"/>
      <c r="J6" s="1080"/>
      <c r="K6" s="1080"/>
      <c r="L6" s="1078" t="s">
        <v>98</v>
      </c>
      <c r="M6" s="1078"/>
    </row>
    <row r="7" spans="2:13" ht="15" x14ac:dyDescent="0.25">
      <c r="B7" s="108" t="s">
        <v>438</v>
      </c>
      <c r="D7" s="653" t="s">
        <v>99</v>
      </c>
      <c r="E7" s="642"/>
      <c r="F7" s="642"/>
      <c r="G7" s="642"/>
      <c r="H7" s="1084" t="s">
        <v>439</v>
      </c>
      <c r="I7" s="1075"/>
      <c r="J7" s="642"/>
      <c r="L7" s="1078" t="s">
        <v>100</v>
      </c>
      <c r="M7" s="1078"/>
    </row>
    <row r="8" spans="2:13" ht="15" x14ac:dyDescent="0.25">
      <c r="B8" s="109"/>
      <c r="H8" s="1079"/>
      <c r="I8" s="1075"/>
    </row>
    <row r="9" spans="2:13" ht="15" x14ac:dyDescent="0.25">
      <c r="B9" s="109" t="s">
        <v>440</v>
      </c>
      <c r="D9" s="654" t="s">
        <v>441</v>
      </c>
      <c r="F9" s="111"/>
      <c r="G9" s="111"/>
      <c r="H9" s="1079" t="s">
        <v>442</v>
      </c>
      <c r="I9" s="1075"/>
      <c r="J9" s="109"/>
      <c r="L9" s="655">
        <v>44</v>
      </c>
      <c r="M9" s="112" t="s">
        <v>101</v>
      </c>
    </row>
    <row r="10" spans="2:13" ht="15" x14ac:dyDescent="0.25">
      <c r="B10" s="109" t="s">
        <v>440</v>
      </c>
      <c r="D10" s="654" t="s">
        <v>441</v>
      </c>
      <c r="F10" s="111"/>
      <c r="G10" s="111"/>
      <c r="H10" s="1079" t="s">
        <v>443</v>
      </c>
      <c r="I10" s="1075"/>
      <c r="J10" s="109"/>
      <c r="L10" s="655">
        <v>42</v>
      </c>
      <c r="M10" s="112" t="s">
        <v>102</v>
      </c>
    </row>
    <row r="11" spans="2:13" ht="15" x14ac:dyDescent="0.25">
      <c r="H11" s="1079" t="s">
        <v>444</v>
      </c>
      <c r="I11" s="1075"/>
      <c r="J11" s="109"/>
      <c r="L11" s="656">
        <v>40</v>
      </c>
      <c r="M11" s="112" t="s">
        <v>103</v>
      </c>
    </row>
    <row r="12" spans="2:13" ht="15" x14ac:dyDescent="0.2">
      <c r="B12" s="113" t="s">
        <v>445</v>
      </c>
      <c r="C12" s="642"/>
      <c r="D12" s="1085"/>
      <c r="E12" s="1085"/>
      <c r="F12" s="642"/>
      <c r="G12" s="642"/>
      <c r="H12" s="642"/>
      <c r="I12" s="642"/>
      <c r="J12" s="642"/>
      <c r="K12" s="642"/>
      <c r="L12" s="642"/>
      <c r="M12" s="114"/>
    </row>
    <row r="13" spans="2:13" x14ac:dyDescent="0.2">
      <c r="B13" s="1086" t="s">
        <v>446</v>
      </c>
      <c r="C13" s="1087"/>
      <c r="D13" s="1087"/>
      <c r="E13" s="1087"/>
      <c r="F13" s="1087"/>
      <c r="G13" s="1087"/>
      <c r="H13" s="1087"/>
      <c r="I13" s="1087"/>
      <c r="J13" s="1087"/>
      <c r="K13" s="1087"/>
      <c r="L13" s="1087"/>
      <c r="M13" s="1088"/>
    </row>
    <row r="14" spans="2:13" x14ac:dyDescent="0.2">
      <c r="B14" s="642"/>
      <c r="C14" s="642"/>
      <c r="D14" s="642"/>
      <c r="E14" s="642"/>
      <c r="F14" s="642"/>
      <c r="G14" s="642"/>
      <c r="H14" s="642"/>
      <c r="I14" s="642"/>
      <c r="J14" s="642"/>
      <c r="K14" s="642"/>
      <c r="L14" s="642"/>
      <c r="M14" s="114"/>
    </row>
    <row r="15" spans="2:13" ht="15" x14ac:dyDescent="0.25">
      <c r="B15" s="642"/>
      <c r="C15" s="108" t="str">
        <f>H9</f>
        <v>Proposed Fee (FY 2015-16):</v>
      </c>
      <c r="D15" s="642"/>
      <c r="E15" s="115">
        <f>L9</f>
        <v>44</v>
      </c>
      <c r="F15" s="115"/>
      <c r="G15" s="115"/>
      <c r="H15" s="108" t="s">
        <v>447</v>
      </c>
      <c r="J15" s="108"/>
      <c r="K15" s="642"/>
      <c r="L15" s="83">
        <f>E15-E16</f>
        <v>2</v>
      </c>
      <c r="M15" s="114"/>
    </row>
    <row r="16" spans="2:13" ht="15" x14ac:dyDescent="0.25">
      <c r="B16" s="642"/>
      <c r="C16" s="108" t="str">
        <f t="shared" ref="C16:C17" si="0">H10</f>
        <v>Proposed Fee (FY 2014-15):</v>
      </c>
      <c r="D16" s="642"/>
      <c r="E16" s="115">
        <f>L10</f>
        <v>42</v>
      </c>
      <c r="F16" s="115"/>
      <c r="G16" s="115"/>
      <c r="H16" s="108" t="s">
        <v>448</v>
      </c>
      <c r="J16" s="108"/>
      <c r="K16" s="642"/>
      <c r="L16" s="116">
        <f>L15/E16</f>
        <v>4.7619047619047616E-2</v>
      </c>
      <c r="M16" s="114"/>
    </row>
    <row r="17" spans="2:13" ht="15" x14ac:dyDescent="0.25">
      <c r="B17" s="642"/>
      <c r="C17" s="108" t="str">
        <f t="shared" si="0"/>
        <v>Current Fee    (FY 2013-14):</v>
      </c>
      <c r="D17" s="642"/>
      <c r="E17" s="115">
        <f>L11</f>
        <v>40</v>
      </c>
      <c r="F17" s="115"/>
      <c r="G17" s="115"/>
      <c r="H17" s="108" t="s">
        <v>449</v>
      </c>
      <c r="J17" s="108"/>
      <c r="K17" s="642"/>
      <c r="L17" s="83">
        <f>E16-E17</f>
        <v>2</v>
      </c>
      <c r="M17" s="114"/>
    </row>
    <row r="18" spans="2:13" ht="15" x14ac:dyDescent="0.25">
      <c r="B18" s="642"/>
      <c r="C18" s="642"/>
      <c r="D18" s="642"/>
      <c r="E18" s="642"/>
      <c r="F18" s="642"/>
      <c r="G18" s="642"/>
      <c r="H18" s="108" t="s">
        <v>450</v>
      </c>
      <c r="J18" s="108"/>
      <c r="K18" s="642"/>
      <c r="L18" s="116">
        <f>L17/E17</f>
        <v>0.05</v>
      </c>
      <c r="M18" s="114"/>
    </row>
    <row r="19" spans="2:13" ht="15" thickBot="1" x14ac:dyDescent="0.25">
      <c r="B19" s="117"/>
      <c r="C19" s="117"/>
      <c r="D19" s="117"/>
      <c r="E19" s="117"/>
      <c r="F19" s="117"/>
      <c r="G19" s="117"/>
      <c r="H19" s="117"/>
      <c r="I19" s="117"/>
      <c r="J19" s="117"/>
      <c r="K19" s="117"/>
      <c r="L19" s="117"/>
      <c r="M19" s="118"/>
    </row>
    <row r="20" spans="2:13" ht="15.75" thickTop="1" x14ac:dyDescent="0.25">
      <c r="B20" s="642"/>
      <c r="C20" s="119" t="s">
        <v>451</v>
      </c>
      <c r="D20" s="642"/>
      <c r="E20" s="657">
        <v>38</v>
      </c>
      <c r="F20" s="115"/>
      <c r="G20" s="115"/>
      <c r="H20" s="119" t="s">
        <v>452</v>
      </c>
      <c r="J20" s="119"/>
      <c r="K20" s="642"/>
      <c r="L20" s="658" t="s">
        <v>453</v>
      </c>
      <c r="M20" s="114"/>
    </row>
    <row r="21" spans="2:13" ht="15" x14ac:dyDescent="0.25">
      <c r="B21" s="642"/>
      <c r="C21" s="119" t="s">
        <v>454</v>
      </c>
      <c r="D21" s="642"/>
      <c r="E21" s="115">
        <f>E17-E20</f>
        <v>2</v>
      </c>
      <c r="F21" s="115"/>
      <c r="G21" s="115"/>
      <c r="H21" s="108" t="s">
        <v>455</v>
      </c>
      <c r="J21" s="108"/>
      <c r="K21" s="642"/>
      <c r="L21" s="116">
        <f>E21/E20</f>
        <v>5.2631578947368418E-2</v>
      </c>
      <c r="M21" s="114"/>
    </row>
    <row r="22" spans="2:13" ht="15" thickBot="1" x14ac:dyDescent="0.25">
      <c r="B22" s="642"/>
      <c r="C22" s="642"/>
      <c r="D22" s="642"/>
      <c r="E22" s="642"/>
      <c r="F22" s="642"/>
      <c r="G22" s="642"/>
      <c r="H22" s="642"/>
      <c r="I22" s="642"/>
      <c r="J22" s="642"/>
      <c r="K22" s="642"/>
      <c r="L22" s="642"/>
      <c r="M22" s="114"/>
    </row>
    <row r="23" spans="2:13" ht="21" thickBot="1" x14ac:dyDescent="0.25">
      <c r="B23" s="1081" t="s">
        <v>456</v>
      </c>
      <c r="C23" s="1082"/>
      <c r="D23" s="1082"/>
      <c r="E23" s="1082"/>
      <c r="F23" s="1082"/>
      <c r="G23" s="1082"/>
      <c r="H23" s="1082"/>
      <c r="I23" s="1082"/>
      <c r="J23" s="1082"/>
      <c r="K23" s="1082"/>
      <c r="L23" s="1082"/>
      <c r="M23" s="1083"/>
    </row>
    <row r="24" spans="2:13" ht="15.75" thickBot="1" x14ac:dyDescent="0.3">
      <c r="B24" s="120"/>
      <c r="C24" s="1089" t="s">
        <v>104</v>
      </c>
      <c r="D24" s="1089"/>
      <c r="E24" s="1089"/>
      <c r="F24" s="121"/>
      <c r="G24" s="122"/>
      <c r="H24" s="642"/>
      <c r="I24" s="1089" t="s">
        <v>457</v>
      </c>
      <c r="J24" s="1089"/>
      <c r="K24" s="1089"/>
      <c r="L24" s="1089"/>
      <c r="M24" s="1090"/>
    </row>
    <row r="25" spans="2:13" ht="30.75" thickTop="1" x14ac:dyDescent="0.25">
      <c r="B25" s="154" t="s">
        <v>105</v>
      </c>
      <c r="C25" s="108" t="s">
        <v>106</v>
      </c>
      <c r="D25" s="642"/>
      <c r="E25" s="642"/>
      <c r="F25" s="124"/>
      <c r="G25" s="125"/>
      <c r="H25" s="148" t="s">
        <v>107</v>
      </c>
      <c r="I25" s="108" t="s">
        <v>108</v>
      </c>
      <c r="J25" s="123"/>
      <c r="K25" s="642"/>
      <c r="L25" s="127" t="s">
        <v>458</v>
      </c>
      <c r="M25" s="128" t="s">
        <v>109</v>
      </c>
    </row>
    <row r="26" spans="2:13" ht="15" x14ac:dyDescent="0.25">
      <c r="B26" s="129"/>
      <c r="C26" s="108" t="s">
        <v>110</v>
      </c>
      <c r="D26" s="642"/>
      <c r="E26" s="659">
        <v>5000</v>
      </c>
      <c r="F26" s="130"/>
      <c r="G26" s="131"/>
      <c r="H26" s="642"/>
      <c r="I26" s="132" t="s">
        <v>124</v>
      </c>
      <c r="J26" s="132"/>
      <c r="K26" s="642"/>
      <c r="L26" s="133">
        <f>G91*0.75</f>
        <v>313701.92307692312</v>
      </c>
      <c r="M26" s="134">
        <f>L26/$L$34</f>
        <v>0.59248161263960775</v>
      </c>
    </row>
    <row r="27" spans="2:13" x14ac:dyDescent="0.2">
      <c r="B27" s="129"/>
      <c r="C27" s="642"/>
      <c r="D27" s="642"/>
      <c r="E27" s="135"/>
      <c r="F27" s="136"/>
      <c r="G27" s="137"/>
      <c r="H27" s="642"/>
      <c r="I27" s="132" t="s">
        <v>125</v>
      </c>
      <c r="J27" s="132"/>
      <c r="K27" s="642"/>
      <c r="L27" s="133">
        <f>G91*0.25</f>
        <v>104567.3076923077</v>
      </c>
      <c r="M27" s="134">
        <f>L27/$L$34</f>
        <v>0.19749387087986925</v>
      </c>
    </row>
    <row r="28" spans="2:13" x14ac:dyDescent="0.2">
      <c r="B28" s="129"/>
      <c r="C28" s="642"/>
      <c r="D28" s="642"/>
      <c r="E28" s="135"/>
      <c r="F28" s="136"/>
      <c r="G28" s="137"/>
      <c r="H28" s="642"/>
      <c r="I28" s="132" t="s">
        <v>111</v>
      </c>
      <c r="J28" s="132"/>
      <c r="K28" s="642"/>
      <c r="L28" s="660">
        <f>C100</f>
        <v>15000</v>
      </c>
      <c r="M28" s="134">
        <f>L28/$L$34</f>
        <v>2.8330155271043312E-2</v>
      </c>
    </row>
    <row r="29" spans="2:13" x14ac:dyDescent="0.2">
      <c r="B29" s="129"/>
      <c r="C29" s="642"/>
      <c r="D29" s="642"/>
      <c r="E29" s="642"/>
      <c r="F29" s="124"/>
      <c r="G29" s="125"/>
      <c r="H29" s="642"/>
      <c r="I29" s="132" t="s">
        <v>112</v>
      </c>
      <c r="J29" s="132"/>
      <c r="K29" s="642"/>
      <c r="L29" s="138">
        <f>C108</f>
        <v>0</v>
      </c>
      <c r="M29" s="134">
        <f>L29/$L$34</f>
        <v>0</v>
      </c>
    </row>
    <row r="30" spans="2:13" x14ac:dyDescent="0.2">
      <c r="B30" s="129"/>
      <c r="C30" s="642"/>
      <c r="D30" s="642"/>
      <c r="E30" s="642"/>
      <c r="F30" s="124"/>
      <c r="G30" s="125"/>
      <c r="H30" s="642"/>
      <c r="I30" s="132" t="s">
        <v>459</v>
      </c>
      <c r="J30" s="132"/>
      <c r="K30" s="642"/>
      <c r="L30" s="138">
        <f>C116</f>
        <v>0</v>
      </c>
      <c r="M30" s="134">
        <f>L30/$L$34</f>
        <v>0</v>
      </c>
    </row>
    <row r="31" spans="2:13" ht="15" x14ac:dyDescent="0.25">
      <c r="B31" s="154" t="s">
        <v>113</v>
      </c>
      <c r="C31" s="108" t="s">
        <v>460</v>
      </c>
      <c r="D31" s="642"/>
      <c r="E31" s="139">
        <f>L10</f>
        <v>42</v>
      </c>
      <c r="F31" s="140"/>
      <c r="G31" s="141"/>
      <c r="H31" s="148" t="s">
        <v>114</v>
      </c>
      <c r="I31" s="108" t="s">
        <v>115</v>
      </c>
      <c r="J31" s="123"/>
      <c r="K31" s="126" t="s">
        <v>116</v>
      </c>
      <c r="L31" s="642"/>
      <c r="M31" s="142"/>
    </row>
    <row r="32" spans="2:13" x14ac:dyDescent="0.2">
      <c r="B32" s="143"/>
      <c r="C32" s="642"/>
      <c r="D32" s="642"/>
      <c r="E32" s="642"/>
      <c r="F32" s="124"/>
      <c r="G32" s="125"/>
      <c r="H32" s="642"/>
      <c r="I32" s="132" t="s">
        <v>117</v>
      </c>
      <c r="J32" s="132"/>
      <c r="K32" s="144">
        <f>B121</f>
        <v>0.2</v>
      </c>
      <c r="L32" s="133">
        <f>K32*($L$26+$L$27)</f>
        <v>83653.846153846171</v>
      </c>
      <c r="M32" s="134">
        <f>L32/$L$34</f>
        <v>0.15799509670389542</v>
      </c>
    </row>
    <row r="33" spans="2:13" x14ac:dyDescent="0.2">
      <c r="B33" s="129"/>
      <c r="C33" s="642"/>
      <c r="D33" s="642"/>
      <c r="E33" s="642"/>
      <c r="F33" s="124"/>
      <c r="G33" s="125"/>
      <c r="H33" s="642"/>
      <c r="I33" s="132" t="s">
        <v>461</v>
      </c>
      <c r="J33" s="132"/>
      <c r="K33" s="661">
        <v>0.03</v>
      </c>
      <c r="L33" s="660">
        <f>K33*($L$26+$L$27)</f>
        <v>12548.076923076924</v>
      </c>
      <c r="M33" s="134">
        <f>L33/$L$34</f>
        <v>2.3699264505584308E-2</v>
      </c>
    </row>
    <row r="34" spans="2:13" ht="15" x14ac:dyDescent="0.25">
      <c r="B34" s="154" t="s">
        <v>85</v>
      </c>
      <c r="C34" s="108" t="s">
        <v>462</v>
      </c>
      <c r="D34" s="642"/>
      <c r="E34" s="145">
        <f>E26*E31</f>
        <v>210000</v>
      </c>
      <c r="F34" s="140"/>
      <c r="G34" s="141"/>
      <c r="H34" s="148" t="s">
        <v>118</v>
      </c>
      <c r="I34" s="108" t="s">
        <v>463</v>
      </c>
      <c r="J34" s="108"/>
      <c r="K34" s="642"/>
      <c r="L34" s="146">
        <f>SUM(L26:L33)</f>
        <v>529471.15384615387</v>
      </c>
      <c r="M34" s="147">
        <f>L34/$L$34</f>
        <v>1</v>
      </c>
    </row>
    <row r="35" spans="2:13" ht="15" thickBot="1" x14ac:dyDescent="0.25">
      <c r="B35" s="161"/>
      <c r="C35" s="163"/>
      <c r="D35" s="163"/>
      <c r="E35" s="163"/>
      <c r="F35" s="662"/>
      <c r="G35" s="163"/>
      <c r="H35" s="163"/>
      <c r="I35" s="163"/>
      <c r="J35" s="163"/>
      <c r="K35" s="163"/>
      <c r="L35" s="163"/>
      <c r="M35" s="165"/>
    </row>
    <row r="36" spans="2:13" ht="15" x14ac:dyDescent="0.25">
      <c r="B36" s="148" t="s">
        <v>119</v>
      </c>
      <c r="C36" s="149" t="s">
        <v>464</v>
      </c>
      <c r="E36" s="150">
        <f>E34/L34</f>
        <v>0.39662217379460635</v>
      </c>
      <c r="M36" s="151"/>
    </row>
    <row r="37" spans="2:13" ht="15" x14ac:dyDescent="0.25">
      <c r="B37" s="148" t="s">
        <v>120</v>
      </c>
      <c r="C37" s="149" t="s">
        <v>121</v>
      </c>
      <c r="E37" s="152">
        <f>L34/E26</f>
        <v>105.89423076923077</v>
      </c>
      <c r="M37" s="151"/>
    </row>
    <row r="38" spans="2:13" ht="15" x14ac:dyDescent="0.25">
      <c r="B38" s="148" t="s">
        <v>122</v>
      </c>
      <c r="C38" s="149" t="s">
        <v>123</v>
      </c>
      <c r="E38" s="153">
        <f>E31-E37</f>
        <v>-63.894230769230774</v>
      </c>
      <c r="M38" s="151"/>
    </row>
    <row r="39" spans="2:13" ht="15" x14ac:dyDescent="0.25">
      <c r="B39" s="154"/>
      <c r="C39" s="155"/>
      <c r="D39" s="642"/>
      <c r="E39" s="149"/>
      <c r="F39" s="149"/>
      <c r="G39" s="149"/>
      <c r="H39" s="108"/>
      <c r="I39" s="642"/>
      <c r="J39" s="642"/>
      <c r="K39" s="642"/>
      <c r="L39" s="156"/>
      <c r="M39" s="151"/>
    </row>
    <row r="40" spans="2:13" ht="15" x14ac:dyDescent="0.25">
      <c r="B40" s="148" t="s">
        <v>465</v>
      </c>
      <c r="C40" s="108" t="s">
        <v>466</v>
      </c>
      <c r="D40" s="642"/>
      <c r="E40" s="642"/>
      <c r="F40" s="642"/>
      <c r="G40" s="642"/>
      <c r="H40" s="642"/>
      <c r="I40" s="642"/>
      <c r="J40" s="642"/>
      <c r="K40" s="642"/>
      <c r="L40" s="157">
        <f>L10*E26</f>
        <v>210000</v>
      </c>
      <c r="M40" s="142"/>
    </row>
    <row r="41" spans="2:13" ht="15" x14ac:dyDescent="0.25">
      <c r="B41" s="148" t="s">
        <v>467</v>
      </c>
      <c r="C41" s="108" t="s">
        <v>468</v>
      </c>
      <c r="D41" s="642"/>
      <c r="E41" s="642"/>
      <c r="F41" s="642"/>
      <c r="G41" s="642"/>
      <c r="H41" s="642"/>
      <c r="I41" s="642"/>
      <c r="J41" s="642"/>
      <c r="K41" s="642"/>
      <c r="L41" s="157">
        <f>L11*E26</f>
        <v>200000</v>
      </c>
      <c r="M41" s="142"/>
    </row>
    <row r="42" spans="2:13" ht="15.75" thickBot="1" x14ac:dyDescent="0.3">
      <c r="B42" s="148" t="s">
        <v>469</v>
      </c>
      <c r="C42" s="158" t="s">
        <v>470</v>
      </c>
      <c r="D42" s="159"/>
      <c r="E42" s="159"/>
      <c r="F42" s="159"/>
      <c r="G42" s="159"/>
      <c r="H42" s="159"/>
      <c r="I42" s="159"/>
      <c r="J42" s="159"/>
      <c r="K42" s="159"/>
      <c r="L42" s="160">
        <f>L40-L41</f>
        <v>10000</v>
      </c>
      <c r="M42" s="142"/>
    </row>
    <row r="43" spans="2:13" ht="18.75" thickTop="1" thickBot="1" x14ac:dyDescent="0.45">
      <c r="B43" s="161"/>
      <c r="C43" s="162"/>
      <c r="D43" s="163"/>
      <c r="E43" s="163"/>
      <c r="F43" s="163"/>
      <c r="G43" s="163"/>
      <c r="H43" s="163"/>
      <c r="I43" s="163"/>
      <c r="J43" s="163"/>
      <c r="K43" s="163"/>
      <c r="L43" s="164"/>
      <c r="M43" s="165"/>
    </row>
    <row r="44" spans="2:13" ht="15.75" thickBot="1" x14ac:dyDescent="0.3">
      <c r="C44" s="119"/>
      <c r="D44" s="642"/>
      <c r="E44" s="642"/>
      <c r="F44" s="642"/>
      <c r="G44" s="642"/>
      <c r="H44" s="642"/>
      <c r="I44" s="642"/>
      <c r="J44" s="642"/>
      <c r="K44" s="642"/>
      <c r="L44" s="166"/>
    </row>
    <row r="45" spans="2:13" ht="21" thickBot="1" x14ac:dyDescent="0.25">
      <c r="B45" s="1081" t="s">
        <v>471</v>
      </c>
      <c r="C45" s="1082"/>
      <c r="D45" s="1082"/>
      <c r="E45" s="1082"/>
      <c r="F45" s="1082"/>
      <c r="G45" s="1082"/>
      <c r="H45" s="1082"/>
      <c r="I45" s="1082"/>
      <c r="J45" s="1082"/>
      <c r="K45" s="1082"/>
      <c r="L45" s="1082"/>
      <c r="M45" s="1083"/>
    </row>
    <row r="46" spans="2:13" ht="15.75" thickBot="1" x14ac:dyDescent="0.25">
      <c r="B46" s="167"/>
      <c r="C46" s="1109" t="s">
        <v>104</v>
      </c>
      <c r="D46" s="1109"/>
      <c r="E46" s="1109"/>
      <c r="F46" s="642"/>
      <c r="G46" s="642"/>
      <c r="H46" s="168"/>
      <c r="I46" s="1089" t="s">
        <v>472</v>
      </c>
      <c r="J46" s="1089"/>
      <c r="K46" s="1089"/>
      <c r="L46" s="1089"/>
      <c r="M46" s="1090"/>
    </row>
    <row r="47" spans="2:13" ht="30.75" thickTop="1" x14ac:dyDescent="0.25">
      <c r="B47" s="154" t="s">
        <v>105</v>
      </c>
      <c r="C47" s="108" t="s">
        <v>106</v>
      </c>
      <c r="D47" s="126"/>
      <c r="E47" s="642"/>
      <c r="F47" s="124"/>
      <c r="G47" s="125"/>
      <c r="H47" s="148" t="s">
        <v>107</v>
      </c>
      <c r="I47" s="108" t="s">
        <v>108</v>
      </c>
      <c r="J47" s="123"/>
      <c r="K47" s="642"/>
      <c r="L47" s="127" t="s">
        <v>473</v>
      </c>
      <c r="M47" s="128" t="s">
        <v>109</v>
      </c>
    </row>
    <row r="48" spans="2:13" ht="15" x14ac:dyDescent="0.25">
      <c r="B48" s="129"/>
      <c r="C48" s="108" t="s">
        <v>110</v>
      </c>
      <c r="D48" s="642"/>
      <c r="E48" s="659">
        <v>5000</v>
      </c>
      <c r="F48" s="130"/>
      <c r="G48" s="131"/>
      <c r="H48" s="642"/>
      <c r="I48" s="132" t="s">
        <v>474</v>
      </c>
      <c r="J48" s="132"/>
      <c r="K48" s="642"/>
      <c r="L48" s="133">
        <f>'[10]Form 2C - Cost Recovery'!F144*0.75</f>
        <v>0</v>
      </c>
      <c r="M48" s="134" t="e">
        <f>L48/$L$56</f>
        <v>#DIV/0!</v>
      </c>
    </row>
    <row r="49" spans="2:13" x14ac:dyDescent="0.2">
      <c r="B49" s="129"/>
      <c r="C49" s="642"/>
      <c r="D49" s="642"/>
      <c r="E49" s="135"/>
      <c r="F49" s="136"/>
      <c r="G49" s="137"/>
      <c r="H49" s="642"/>
      <c r="I49" s="132" t="s">
        <v>475</v>
      </c>
      <c r="J49" s="132"/>
      <c r="K49" s="642"/>
      <c r="L49" s="133">
        <f>'[10]Form 2C - Cost Recovery'!F145*0.25</f>
        <v>0</v>
      </c>
      <c r="M49" s="134" t="e">
        <f>L49/$L$56</f>
        <v>#DIV/0!</v>
      </c>
    </row>
    <row r="50" spans="2:13" x14ac:dyDescent="0.2">
      <c r="B50" s="129"/>
      <c r="C50" s="642"/>
      <c r="D50" s="642"/>
      <c r="E50" s="135"/>
      <c r="F50" s="136"/>
      <c r="G50" s="137"/>
      <c r="H50" s="642"/>
      <c r="I50" s="132" t="s">
        <v>111</v>
      </c>
      <c r="J50" s="132"/>
      <c r="K50" s="642"/>
      <c r="L50" s="660">
        <f>'[10]Form 2C - Cost Recovery'!B153</f>
        <v>0</v>
      </c>
      <c r="M50" s="134" t="e">
        <f>L50/$L$56</f>
        <v>#DIV/0!</v>
      </c>
    </row>
    <row r="51" spans="2:13" x14ac:dyDescent="0.2">
      <c r="B51" s="129"/>
      <c r="C51" s="642"/>
      <c r="D51" s="642"/>
      <c r="E51" s="642"/>
      <c r="F51" s="124"/>
      <c r="G51" s="125"/>
      <c r="H51" s="642"/>
      <c r="I51" s="132" t="s">
        <v>112</v>
      </c>
      <c r="J51" s="132"/>
      <c r="K51" s="642"/>
      <c r="L51" s="138">
        <f>'[10]Form 2C - Cost Recovery'!B161</f>
        <v>0</v>
      </c>
      <c r="M51" s="134" t="e">
        <f>L51/$L$56</f>
        <v>#DIV/0!</v>
      </c>
    </row>
    <row r="52" spans="2:13" x14ac:dyDescent="0.2">
      <c r="B52" s="129"/>
      <c r="C52" s="642"/>
      <c r="D52" s="642"/>
      <c r="E52" s="642"/>
      <c r="F52" s="124"/>
      <c r="G52" s="125"/>
      <c r="H52" s="642"/>
      <c r="I52" s="132" t="s">
        <v>459</v>
      </c>
      <c r="J52" s="132"/>
      <c r="K52" s="642"/>
      <c r="L52" s="138">
        <f>'[10]Form 2C - Cost Recovery'!B169</f>
        <v>0</v>
      </c>
      <c r="M52" s="134">
        <f>L52/$L$34</f>
        <v>0</v>
      </c>
    </row>
    <row r="53" spans="2:13" ht="15" x14ac:dyDescent="0.25">
      <c r="B53" s="154" t="s">
        <v>113</v>
      </c>
      <c r="C53" s="108" t="s">
        <v>460</v>
      </c>
      <c r="D53" s="126"/>
      <c r="E53" s="139">
        <f>L9</f>
        <v>44</v>
      </c>
      <c r="F53" s="140"/>
      <c r="G53" s="141"/>
      <c r="H53" s="148" t="s">
        <v>114</v>
      </c>
      <c r="I53" s="108" t="s">
        <v>115</v>
      </c>
      <c r="J53" s="123"/>
      <c r="K53" s="126" t="s">
        <v>116</v>
      </c>
      <c r="L53" s="642"/>
      <c r="M53" s="142"/>
    </row>
    <row r="54" spans="2:13" x14ac:dyDescent="0.2">
      <c r="B54" s="129"/>
      <c r="C54" s="642"/>
      <c r="D54" s="169"/>
      <c r="E54" s="642"/>
      <c r="F54" s="124"/>
      <c r="G54" s="125"/>
      <c r="H54" s="642"/>
      <c r="I54" s="132" t="s">
        <v>117</v>
      </c>
      <c r="J54" s="132"/>
      <c r="K54" s="144">
        <f>B175</f>
        <v>0</v>
      </c>
      <c r="L54" s="133">
        <f>K54*($L$48+$L$49)</f>
        <v>0</v>
      </c>
      <c r="M54" s="134" t="e">
        <f>L54/$L$56</f>
        <v>#DIV/0!</v>
      </c>
    </row>
    <row r="55" spans="2:13" x14ac:dyDescent="0.2">
      <c r="B55" s="129"/>
      <c r="C55" s="642"/>
      <c r="D55" s="642"/>
      <c r="E55" s="642"/>
      <c r="F55" s="124"/>
      <c r="G55" s="125"/>
      <c r="H55" s="642"/>
      <c r="I55" s="132" t="s">
        <v>461</v>
      </c>
      <c r="J55" s="132"/>
      <c r="K55" s="661">
        <v>0.03</v>
      </c>
      <c r="L55" s="133">
        <f>K55*($L$48+$L$49)</f>
        <v>0</v>
      </c>
      <c r="M55" s="134" t="e">
        <f>L55/$L$56</f>
        <v>#DIV/0!</v>
      </c>
    </row>
    <row r="56" spans="2:13" ht="15" x14ac:dyDescent="0.25">
      <c r="B56" s="154" t="s">
        <v>85</v>
      </c>
      <c r="C56" s="108" t="s">
        <v>476</v>
      </c>
      <c r="D56" s="126"/>
      <c r="E56" s="145">
        <f>E48*E53</f>
        <v>220000</v>
      </c>
      <c r="F56" s="140"/>
      <c r="G56" s="141"/>
      <c r="H56" s="148" t="s">
        <v>118</v>
      </c>
      <c r="I56" s="108" t="s">
        <v>477</v>
      </c>
      <c r="J56" s="108"/>
      <c r="K56" s="642"/>
      <c r="L56" s="146">
        <f>SUM(L48:L55)</f>
        <v>0</v>
      </c>
      <c r="M56" s="147" t="e">
        <f>L56/$L$56</f>
        <v>#DIV/0!</v>
      </c>
    </row>
    <row r="57" spans="2:13" ht="15" thickBot="1" x14ac:dyDescent="0.25">
      <c r="B57" s="161"/>
      <c r="C57" s="163"/>
      <c r="D57" s="163"/>
      <c r="E57" s="163"/>
      <c r="F57" s="662"/>
      <c r="G57" s="163"/>
      <c r="H57" s="163"/>
      <c r="I57" s="163"/>
      <c r="J57" s="163"/>
      <c r="K57" s="163"/>
      <c r="L57" s="163"/>
      <c r="M57" s="165"/>
    </row>
    <row r="58" spans="2:13" ht="15" x14ac:dyDescent="0.25">
      <c r="B58" s="148" t="s">
        <v>119</v>
      </c>
      <c r="C58" s="119" t="s">
        <v>478</v>
      </c>
      <c r="D58" s="148"/>
      <c r="E58" s="150" t="e">
        <f>E56/L56</f>
        <v>#DIV/0!</v>
      </c>
      <c r="F58" s="642"/>
      <c r="G58" s="642"/>
      <c r="L58" s="642"/>
      <c r="M58" s="151"/>
    </row>
    <row r="59" spans="2:13" ht="15" x14ac:dyDescent="0.25">
      <c r="B59" s="148" t="s">
        <v>120</v>
      </c>
      <c r="C59" s="119" t="s">
        <v>479</v>
      </c>
      <c r="D59" s="148"/>
      <c r="E59" s="152">
        <f>L56/E48</f>
        <v>0</v>
      </c>
      <c r="F59" s="642"/>
      <c r="G59" s="642"/>
      <c r="L59" s="642"/>
      <c r="M59" s="151"/>
    </row>
    <row r="60" spans="2:13" ht="15" x14ac:dyDescent="0.25">
      <c r="B60" s="148" t="s">
        <v>122</v>
      </c>
      <c r="C60" s="119" t="s">
        <v>480</v>
      </c>
      <c r="D60" s="148"/>
      <c r="E60" s="153">
        <f>E53-E59</f>
        <v>44</v>
      </c>
      <c r="F60" s="642"/>
      <c r="G60" s="642"/>
      <c r="L60" s="642"/>
      <c r="M60" s="151"/>
    </row>
    <row r="61" spans="2:13" ht="15" x14ac:dyDescent="0.25">
      <c r="B61" s="129"/>
      <c r="C61" s="642"/>
      <c r="D61" s="642"/>
      <c r="E61" s="149"/>
      <c r="F61" s="149"/>
      <c r="G61" s="149"/>
      <c r="H61" s="108"/>
      <c r="I61" s="642"/>
      <c r="J61" s="642"/>
      <c r="K61" s="642"/>
      <c r="L61" s="642"/>
      <c r="M61" s="142"/>
    </row>
    <row r="62" spans="2:13" ht="15" x14ac:dyDescent="0.25">
      <c r="B62" s="148" t="s">
        <v>465</v>
      </c>
      <c r="C62" s="108" t="s">
        <v>481</v>
      </c>
      <c r="D62" s="642"/>
      <c r="E62" s="642"/>
      <c r="F62" s="642"/>
      <c r="G62" s="642"/>
      <c r="H62" s="642"/>
      <c r="I62" s="642"/>
      <c r="J62" s="642"/>
      <c r="K62" s="642"/>
      <c r="L62" s="157">
        <f>L9*E48</f>
        <v>220000</v>
      </c>
      <c r="M62" s="142"/>
    </row>
    <row r="63" spans="2:13" ht="15" x14ac:dyDescent="0.25">
      <c r="B63" s="148" t="s">
        <v>467</v>
      </c>
      <c r="C63" s="108" t="s">
        <v>466</v>
      </c>
      <c r="D63" s="642"/>
      <c r="E63" s="642"/>
      <c r="F63" s="642"/>
      <c r="G63" s="642"/>
      <c r="H63" s="642"/>
      <c r="I63" s="642"/>
      <c r="J63" s="642"/>
      <c r="K63" s="642"/>
      <c r="L63" s="157">
        <f>L10*E26</f>
        <v>210000</v>
      </c>
      <c r="M63" s="142"/>
    </row>
    <row r="64" spans="2:13" ht="15.75" thickBot="1" x14ac:dyDescent="0.3">
      <c r="B64" s="148" t="s">
        <v>469</v>
      </c>
      <c r="C64" s="158" t="s">
        <v>482</v>
      </c>
      <c r="D64" s="159"/>
      <c r="E64" s="159"/>
      <c r="F64" s="159"/>
      <c r="G64" s="159"/>
      <c r="H64" s="159"/>
      <c r="I64" s="159"/>
      <c r="J64" s="159"/>
      <c r="K64" s="159"/>
      <c r="L64" s="160">
        <f>L62-L63</f>
        <v>10000</v>
      </c>
      <c r="M64" s="142"/>
    </row>
    <row r="65" spans="2:19" ht="16.5" thickTop="1" thickBot="1" x14ac:dyDescent="0.3">
      <c r="B65" s="161"/>
      <c r="C65" s="162"/>
      <c r="D65" s="163"/>
      <c r="E65" s="163"/>
      <c r="F65" s="163"/>
      <c r="G65" s="163"/>
      <c r="H65" s="163"/>
      <c r="I65" s="163"/>
      <c r="J65" s="163"/>
      <c r="K65" s="163"/>
      <c r="L65" s="170"/>
      <c r="M65" s="165"/>
    </row>
    <row r="66" spans="2:19" ht="19.5" customHeight="1" x14ac:dyDescent="0.2">
      <c r="B66" s="642"/>
      <c r="D66" s="642"/>
      <c r="E66" s="642"/>
      <c r="F66" s="642"/>
      <c r="G66" s="642"/>
      <c r="H66" s="642"/>
      <c r="I66" s="642"/>
      <c r="J66" s="642"/>
      <c r="K66" s="642"/>
      <c r="L66" s="642"/>
      <c r="M66" s="114"/>
    </row>
    <row r="71" spans="2:19" ht="15" x14ac:dyDescent="0.25">
      <c r="B71" s="109" t="s">
        <v>483</v>
      </c>
    </row>
    <row r="72" spans="2:19" ht="15" thickBot="1" x14ac:dyDescent="0.25"/>
    <row r="73" spans="2:19" ht="21" thickBot="1" x14ac:dyDescent="0.25">
      <c r="B73" s="663" t="s">
        <v>484</v>
      </c>
      <c r="C73" s="664"/>
      <c r="D73" s="664"/>
      <c r="E73" s="664"/>
      <c r="F73" s="664"/>
      <c r="G73" s="664"/>
      <c r="H73" s="664"/>
      <c r="I73" s="664"/>
      <c r="J73" s="664"/>
      <c r="K73" s="664"/>
      <c r="L73" s="665"/>
      <c r="M73" s="666"/>
      <c r="N73" s="666"/>
      <c r="O73" s="666"/>
      <c r="P73" s="666"/>
      <c r="Q73" s="666"/>
      <c r="R73" s="666"/>
      <c r="S73" s="666"/>
    </row>
    <row r="74" spans="2:19" ht="20.25" x14ac:dyDescent="0.2">
      <c r="B74" s="667" t="s">
        <v>108</v>
      </c>
      <c r="C74" s="668"/>
      <c r="D74" s="669"/>
      <c r="E74" s="669"/>
      <c r="F74" s="669"/>
      <c r="G74" s="669"/>
      <c r="H74" s="669"/>
      <c r="I74" s="669"/>
      <c r="J74" s="669"/>
      <c r="K74" s="669"/>
      <c r="L74" s="669"/>
      <c r="M74" s="666"/>
      <c r="N74" s="666"/>
      <c r="O74" s="666"/>
      <c r="P74" s="666"/>
      <c r="Q74" s="666"/>
      <c r="R74" s="666"/>
      <c r="S74" s="666"/>
    </row>
    <row r="75" spans="2:19" ht="20.25" x14ac:dyDescent="0.2">
      <c r="B75" s="670" t="s">
        <v>485</v>
      </c>
      <c r="C75" s="671"/>
      <c r="D75" s="671"/>
      <c r="E75" s="671"/>
      <c r="F75" s="671"/>
      <c r="G75" s="671"/>
      <c r="H75" s="666"/>
      <c r="I75" s="672"/>
      <c r="J75" s="672"/>
      <c r="K75" s="672"/>
      <c r="L75" s="672"/>
      <c r="M75" s="666"/>
      <c r="N75" s="666"/>
      <c r="O75" s="666"/>
      <c r="P75" s="666"/>
      <c r="Q75" s="666"/>
      <c r="R75" s="666"/>
      <c r="S75" s="666"/>
    </row>
    <row r="76" spans="2:19" ht="20.25" x14ac:dyDescent="0.2">
      <c r="B76" s="673" t="s">
        <v>486</v>
      </c>
      <c r="C76" s="673"/>
      <c r="D76" s="673"/>
      <c r="E76" s="673"/>
      <c r="F76" s="673"/>
      <c r="G76" s="673"/>
      <c r="H76" s="674"/>
      <c r="I76" s="675"/>
      <c r="J76" s="672"/>
      <c r="K76" s="672"/>
      <c r="L76" s="672"/>
      <c r="M76" s="666"/>
      <c r="N76" s="666"/>
      <c r="O76" s="666"/>
      <c r="P76" s="666"/>
      <c r="Q76" s="666"/>
      <c r="R76" s="666"/>
      <c r="S76" s="666"/>
    </row>
    <row r="77" spans="2:19" ht="20.25" x14ac:dyDescent="0.2">
      <c r="B77" s="673" t="s">
        <v>487</v>
      </c>
      <c r="C77" s="673"/>
      <c r="D77" s="673"/>
      <c r="E77" s="673"/>
      <c r="F77" s="673"/>
      <c r="G77" s="673"/>
      <c r="H77" s="674"/>
      <c r="I77" s="675"/>
      <c r="J77" s="672"/>
      <c r="K77" s="672"/>
      <c r="L77" s="672"/>
      <c r="M77" s="666"/>
      <c r="N77" s="666"/>
      <c r="O77" s="666"/>
      <c r="P77" s="666"/>
      <c r="Q77" s="666"/>
      <c r="R77" s="666"/>
      <c r="S77" s="666"/>
    </row>
    <row r="78" spans="2:19" ht="20.25" x14ac:dyDescent="0.2">
      <c r="B78" s="676"/>
      <c r="C78" s="676"/>
      <c r="D78" s="676"/>
      <c r="E78" s="676"/>
      <c r="F78" s="676"/>
      <c r="G78" s="676"/>
      <c r="H78" s="677"/>
      <c r="I78" s="672"/>
      <c r="J78" s="672"/>
      <c r="K78" s="672"/>
      <c r="L78" s="672"/>
      <c r="M78" s="677"/>
      <c r="N78" s="677"/>
      <c r="O78" s="677"/>
      <c r="P78" s="677"/>
      <c r="Q78" s="677"/>
      <c r="R78" s="677"/>
      <c r="S78" s="677"/>
    </row>
    <row r="79" spans="2:19" ht="51" x14ac:dyDescent="0.2">
      <c r="B79" s="678" t="s">
        <v>488</v>
      </c>
      <c r="C79" s="678" t="s">
        <v>334</v>
      </c>
      <c r="D79" s="679" t="s">
        <v>489</v>
      </c>
      <c r="E79" s="680"/>
      <c r="F79" s="681"/>
      <c r="G79" s="682"/>
      <c r="H79" s="683" t="s">
        <v>490</v>
      </c>
      <c r="I79" s="684"/>
      <c r="J79" s="684"/>
      <c r="K79" s="684"/>
      <c r="L79" s="684"/>
      <c r="M79" s="684"/>
      <c r="N79" s="684"/>
      <c r="O79" s="684"/>
      <c r="P79" s="684"/>
      <c r="Q79" s="684"/>
      <c r="R79" s="684"/>
      <c r="S79" s="684"/>
    </row>
    <row r="80" spans="2:19" ht="15" x14ac:dyDescent="0.25">
      <c r="B80" s="685">
        <v>1234</v>
      </c>
      <c r="C80" s="685" t="s">
        <v>491</v>
      </c>
      <c r="D80" s="1091" t="s">
        <v>492</v>
      </c>
      <c r="E80" s="1092"/>
      <c r="F80" s="1092"/>
      <c r="G80" s="1093"/>
      <c r="H80" s="686">
        <v>1.2</v>
      </c>
      <c r="I80" s="666"/>
      <c r="J80" s="666"/>
      <c r="K80" s="666"/>
      <c r="L80" s="666"/>
      <c r="M80" s="666"/>
      <c r="N80" s="666"/>
      <c r="O80" s="666"/>
      <c r="P80" s="666"/>
      <c r="Q80" s="666"/>
      <c r="R80" s="666"/>
      <c r="S80" s="666"/>
    </row>
    <row r="81" spans="2:19" ht="15" x14ac:dyDescent="0.25">
      <c r="B81" s="687"/>
      <c r="C81" s="687"/>
      <c r="D81" s="1094"/>
      <c r="E81" s="1095"/>
      <c r="F81" s="1095"/>
      <c r="G81" s="1096"/>
      <c r="H81" s="688"/>
      <c r="I81" s="666"/>
      <c r="J81" s="666"/>
      <c r="K81" s="666"/>
      <c r="L81" s="666"/>
      <c r="M81" s="666"/>
      <c r="N81" s="666"/>
      <c r="O81" s="666"/>
      <c r="P81" s="666"/>
      <c r="Q81" s="666"/>
      <c r="R81" s="666"/>
      <c r="S81" s="666"/>
    </row>
    <row r="82" spans="2:19" ht="15" x14ac:dyDescent="0.25">
      <c r="B82" s="689"/>
      <c r="C82" s="690"/>
      <c r="D82" s="1094"/>
      <c r="E82" s="1095"/>
      <c r="F82" s="1095"/>
      <c r="G82" s="1096"/>
      <c r="H82" s="688"/>
      <c r="I82" s="666"/>
      <c r="J82" s="666"/>
      <c r="K82" s="666"/>
      <c r="L82" s="666"/>
      <c r="M82" s="666"/>
      <c r="N82" s="666"/>
      <c r="O82" s="666"/>
      <c r="P82" s="666"/>
      <c r="Q82" s="666"/>
      <c r="R82" s="666"/>
      <c r="S82" s="666"/>
    </row>
    <row r="83" spans="2:19" ht="15" x14ac:dyDescent="0.25">
      <c r="B83" s="691"/>
      <c r="C83" s="692"/>
      <c r="D83" s="1097"/>
      <c r="E83" s="1098"/>
      <c r="F83" s="1098"/>
      <c r="G83" s="1099"/>
      <c r="H83" s="693"/>
      <c r="I83" s="666"/>
      <c r="J83" s="666"/>
      <c r="K83" s="666"/>
      <c r="L83" s="666"/>
      <c r="M83" s="666"/>
      <c r="N83" s="666"/>
      <c r="O83" s="666"/>
      <c r="P83" s="666"/>
      <c r="Q83" s="666"/>
      <c r="R83" s="666"/>
      <c r="S83" s="666"/>
    </row>
    <row r="84" spans="2:19" ht="15" x14ac:dyDescent="0.25">
      <c r="B84" s="694"/>
      <c r="C84" s="695"/>
      <c r="D84" s="696"/>
      <c r="E84" s="696"/>
      <c r="F84" s="697"/>
      <c r="G84" s="697"/>
      <c r="H84" s="698"/>
      <c r="I84" s="699"/>
      <c r="J84" s="699"/>
      <c r="K84" s="700"/>
      <c r="L84" s="666"/>
      <c r="M84" s="666"/>
      <c r="N84" s="666"/>
      <c r="O84" s="666"/>
      <c r="P84" s="666"/>
      <c r="Q84" s="666"/>
      <c r="R84" s="666"/>
      <c r="S84" s="666"/>
    </row>
    <row r="85" spans="2:19" ht="20.25" x14ac:dyDescent="0.2">
      <c r="B85" s="673" t="s">
        <v>493</v>
      </c>
      <c r="C85" s="673"/>
      <c r="D85" s="673"/>
      <c r="E85" s="673"/>
      <c r="F85" s="673"/>
      <c r="G85" s="673"/>
      <c r="H85" s="673"/>
      <c r="I85" s="673"/>
      <c r="J85" s="672"/>
      <c r="K85" s="672"/>
      <c r="L85" s="666"/>
      <c r="M85" s="666"/>
      <c r="N85" s="666"/>
      <c r="O85" s="666"/>
      <c r="P85" s="666"/>
      <c r="Q85" s="666"/>
      <c r="R85" s="666"/>
      <c r="S85" s="666"/>
    </row>
    <row r="86" spans="2:19" ht="38.25" x14ac:dyDescent="0.2">
      <c r="B86" s="683" t="s">
        <v>235</v>
      </c>
      <c r="C86" s="683" t="s">
        <v>334</v>
      </c>
      <c r="D86" s="678" t="s">
        <v>494</v>
      </c>
      <c r="E86" s="683" t="s">
        <v>495</v>
      </c>
      <c r="F86" s="683" t="s">
        <v>496</v>
      </c>
      <c r="G86" s="683" t="s">
        <v>497</v>
      </c>
      <c r="H86" s="666"/>
      <c r="I86" s="666"/>
      <c r="J86" s="666"/>
      <c r="K86" s="666"/>
      <c r="L86" s="684"/>
      <c r="M86" s="684"/>
      <c r="N86" s="684"/>
      <c r="O86" s="684"/>
      <c r="P86" s="684"/>
      <c r="Q86" s="684"/>
      <c r="R86" s="684"/>
      <c r="S86" s="684"/>
    </row>
    <row r="87" spans="2:19" x14ac:dyDescent="0.2">
      <c r="B87" s="701">
        <f t="shared" ref="B87:C90" si="1">B80</f>
        <v>1234</v>
      </c>
      <c r="C87" s="702" t="str">
        <f t="shared" si="1"/>
        <v>Test</v>
      </c>
      <c r="D87" s="703">
        <v>145000</v>
      </c>
      <c r="E87" s="704">
        <f>H80*'[10]Form 2C - Cost Recovery'!$D$25</f>
        <v>6000</v>
      </c>
      <c r="F87" s="705">
        <f>D87/2080</f>
        <v>69.711538461538467</v>
      </c>
      <c r="G87" s="706">
        <f>$E87*F87</f>
        <v>418269.23076923081</v>
      </c>
      <c r="H87" s="666"/>
      <c r="I87" s="666"/>
      <c r="J87" s="666"/>
      <c r="K87" s="666"/>
      <c r="L87" s="666"/>
      <c r="M87" s="666"/>
      <c r="N87" s="666"/>
      <c r="O87" s="666"/>
      <c r="P87" s="666"/>
      <c r="Q87" s="666"/>
      <c r="R87" s="666"/>
      <c r="S87" s="666"/>
    </row>
    <row r="88" spans="2:19" x14ac:dyDescent="0.2">
      <c r="B88" s="707">
        <f t="shared" si="1"/>
        <v>0</v>
      </c>
      <c r="C88" s="708">
        <f t="shared" si="1"/>
        <v>0</v>
      </c>
      <c r="D88" s="709"/>
      <c r="E88" s="710">
        <f>H81*'[10]Form 2C - Cost Recovery'!$D$25</f>
        <v>0</v>
      </c>
      <c r="F88" s="711">
        <f>D88/2080</f>
        <v>0</v>
      </c>
      <c r="G88" s="712">
        <f>$E88*F88</f>
        <v>0</v>
      </c>
      <c r="H88" s="666"/>
      <c r="I88" s="666"/>
      <c r="J88" s="666"/>
      <c r="K88" s="666"/>
      <c r="L88" s="666"/>
      <c r="M88" s="666"/>
      <c r="N88" s="666"/>
      <c r="O88" s="666"/>
      <c r="P88" s="666"/>
      <c r="Q88" s="666"/>
      <c r="R88" s="666"/>
      <c r="S88" s="666"/>
    </row>
    <row r="89" spans="2:19" x14ac:dyDescent="0.2">
      <c r="B89" s="707">
        <f t="shared" si="1"/>
        <v>0</v>
      </c>
      <c r="C89" s="708">
        <f t="shared" si="1"/>
        <v>0</v>
      </c>
      <c r="D89" s="709"/>
      <c r="E89" s="710">
        <f>H82*'[10]Form 2C - Cost Recovery'!$D$25</f>
        <v>0</v>
      </c>
      <c r="F89" s="711">
        <f>D89/2080</f>
        <v>0</v>
      </c>
      <c r="G89" s="712">
        <f>$E89*F89</f>
        <v>0</v>
      </c>
      <c r="H89" s="666"/>
      <c r="I89" s="666"/>
      <c r="J89" s="666"/>
      <c r="K89" s="666"/>
      <c r="L89" s="666"/>
      <c r="M89" s="666"/>
      <c r="N89" s="666"/>
      <c r="O89" s="666"/>
      <c r="P89" s="666"/>
      <c r="Q89" s="666"/>
      <c r="R89" s="666"/>
      <c r="S89" s="666"/>
    </row>
    <row r="90" spans="2:19" x14ac:dyDescent="0.2">
      <c r="B90" s="707">
        <f t="shared" si="1"/>
        <v>0</v>
      </c>
      <c r="C90" s="713">
        <f t="shared" si="1"/>
        <v>0</v>
      </c>
      <c r="D90" s="714"/>
      <c r="E90" s="715">
        <f>H83*'[10]Form 2C - Cost Recovery'!$D$25</f>
        <v>0</v>
      </c>
      <c r="F90" s="711">
        <f>D90/2080</f>
        <v>0</v>
      </c>
      <c r="G90" s="716">
        <f>$E90*F90</f>
        <v>0</v>
      </c>
      <c r="H90" s="666"/>
      <c r="I90" s="666"/>
      <c r="J90" s="666"/>
      <c r="K90" s="666"/>
      <c r="L90" s="666"/>
      <c r="M90" s="666"/>
      <c r="N90" s="666"/>
      <c r="O90" s="666"/>
      <c r="P90" s="666"/>
      <c r="Q90" s="666"/>
      <c r="R90" s="666"/>
      <c r="S90" s="666"/>
    </row>
    <row r="91" spans="2:19" x14ac:dyDescent="0.2">
      <c r="B91" s="717"/>
      <c r="C91" s="717"/>
      <c r="D91" s="666"/>
      <c r="E91" s="718"/>
      <c r="F91" s="719" t="s">
        <v>498</v>
      </c>
      <c r="G91" s="720">
        <f>SUM(G87:G90)</f>
        <v>418269.23076923081</v>
      </c>
      <c r="H91" s="666"/>
      <c r="I91" s="666"/>
      <c r="J91" s="666"/>
      <c r="K91" s="666"/>
      <c r="L91" s="666"/>
      <c r="M91" s="666"/>
      <c r="N91" s="666"/>
      <c r="O91" s="666"/>
      <c r="P91" s="666"/>
      <c r="Q91" s="666"/>
      <c r="R91" s="666"/>
      <c r="S91" s="666"/>
    </row>
    <row r="92" spans="2:19" x14ac:dyDescent="0.2">
      <c r="B92" s="721"/>
      <c r="C92" s="722"/>
      <c r="D92" s="723"/>
      <c r="E92" s="724"/>
      <c r="F92" s="724"/>
      <c r="G92" s="725"/>
      <c r="H92" s="666"/>
      <c r="I92" s="666"/>
      <c r="J92" s="666"/>
      <c r="K92" s="666"/>
      <c r="L92" s="666"/>
      <c r="M92" s="666"/>
      <c r="N92" s="666"/>
      <c r="O92" s="666"/>
      <c r="P92" s="666"/>
      <c r="Q92" s="666"/>
      <c r="R92" s="666"/>
      <c r="S92" s="666"/>
    </row>
    <row r="93" spans="2:19" x14ac:dyDescent="0.2">
      <c r="B93" s="666"/>
      <c r="C93" s="666"/>
      <c r="D93" s="666"/>
      <c r="E93" s="666"/>
      <c r="F93" s="666"/>
      <c r="G93" s="666"/>
      <c r="H93" s="666"/>
      <c r="I93" s="666"/>
      <c r="J93" s="666"/>
      <c r="K93" s="666"/>
      <c r="L93" s="666"/>
      <c r="M93" s="666"/>
      <c r="N93" s="666"/>
      <c r="O93" s="666"/>
      <c r="P93" s="666"/>
      <c r="Q93" s="666"/>
      <c r="R93" s="666"/>
      <c r="S93" s="666"/>
    </row>
    <row r="94" spans="2:19" x14ac:dyDescent="0.2">
      <c r="B94" s="670" t="s">
        <v>111</v>
      </c>
      <c r="C94" s="671"/>
      <c r="D94" s="673" t="s">
        <v>499</v>
      </c>
      <c r="E94" s="673"/>
      <c r="F94" s="673"/>
      <c r="G94" s="673"/>
      <c r="H94" s="673"/>
      <c r="I94" s="674"/>
      <c r="J94" s="674"/>
      <c r="K94" s="674"/>
      <c r="L94" s="674"/>
      <c r="M94" s="674"/>
      <c r="N94" s="674"/>
      <c r="O94" s="674"/>
      <c r="P94" s="674"/>
      <c r="Q94" s="674"/>
      <c r="R94" s="674"/>
      <c r="S94" s="674"/>
    </row>
    <row r="95" spans="2:19" x14ac:dyDescent="0.2">
      <c r="B95" s="670"/>
      <c r="C95" s="670" t="s">
        <v>500</v>
      </c>
      <c r="D95" s="670" t="s">
        <v>63</v>
      </c>
      <c r="E95" s="671"/>
      <c r="F95" s="671"/>
      <c r="G95" s="671"/>
      <c r="H95" s="666"/>
      <c r="I95" s="666"/>
      <c r="J95" s="666"/>
      <c r="K95" s="666"/>
      <c r="L95" s="666"/>
      <c r="M95" s="666"/>
      <c r="N95" s="666"/>
      <c r="O95" s="666"/>
      <c r="P95" s="666"/>
      <c r="Q95" s="666"/>
      <c r="R95" s="666"/>
      <c r="S95" s="666"/>
    </row>
    <row r="96" spans="2:19" x14ac:dyDescent="0.2">
      <c r="B96" s="676">
        <v>1</v>
      </c>
      <c r="C96" s="666">
        <v>15000</v>
      </c>
      <c r="D96" s="666" t="s">
        <v>501</v>
      </c>
      <c r="E96" s="666"/>
      <c r="F96" s="666"/>
      <c r="G96" s="666"/>
      <c r="H96" s="666"/>
      <c r="I96" s="666"/>
      <c r="J96" s="666"/>
      <c r="K96" s="666"/>
      <c r="L96" s="666"/>
      <c r="M96" s="666"/>
      <c r="N96" s="666"/>
      <c r="O96" s="666"/>
      <c r="P96" s="666"/>
      <c r="Q96" s="666"/>
      <c r="R96" s="666"/>
      <c r="S96" s="666"/>
    </row>
    <row r="97" spans="2:19" x14ac:dyDescent="0.2">
      <c r="B97" s="676">
        <v>2</v>
      </c>
      <c r="C97" s="676"/>
      <c r="D97" s="676"/>
      <c r="E97" s="676"/>
      <c r="F97" s="676"/>
      <c r="G97" s="676"/>
      <c r="H97" s="677"/>
      <c r="I97" s="666"/>
      <c r="J97" s="666"/>
      <c r="K97" s="666"/>
      <c r="L97" s="666"/>
      <c r="M97" s="666"/>
      <c r="N97" s="666"/>
      <c r="O97" s="666"/>
      <c r="P97" s="666"/>
      <c r="Q97" s="666"/>
      <c r="R97" s="666"/>
      <c r="S97" s="666"/>
    </row>
    <row r="98" spans="2:19" x14ac:dyDescent="0.2">
      <c r="B98" s="676">
        <v>3</v>
      </c>
      <c r="C98" s="676"/>
      <c r="D98" s="676"/>
      <c r="E98" s="676"/>
      <c r="F98" s="676"/>
      <c r="G98" s="676"/>
      <c r="H98" s="677"/>
      <c r="I98" s="666"/>
      <c r="J98" s="666"/>
      <c r="K98" s="666"/>
      <c r="L98" s="666"/>
      <c r="M98" s="666"/>
      <c r="N98" s="666"/>
      <c r="O98" s="666"/>
      <c r="P98" s="666"/>
      <c r="Q98" s="666"/>
      <c r="R98" s="666"/>
      <c r="S98" s="666"/>
    </row>
    <row r="99" spans="2:19" x14ac:dyDescent="0.2">
      <c r="B99" s="671"/>
      <c r="C99" s="671"/>
      <c r="D99" s="671"/>
      <c r="E99" s="671"/>
      <c r="F99" s="671"/>
      <c r="G99" s="671"/>
      <c r="H99" s="666"/>
      <c r="I99" s="666"/>
      <c r="J99" s="666"/>
      <c r="K99" s="666"/>
      <c r="L99" s="666"/>
      <c r="M99" s="666"/>
      <c r="N99" s="666"/>
      <c r="O99" s="666"/>
      <c r="P99" s="666"/>
      <c r="Q99" s="666"/>
      <c r="R99" s="666"/>
      <c r="S99" s="666"/>
    </row>
    <row r="100" spans="2:19" x14ac:dyDescent="0.2">
      <c r="B100" s="726" t="s">
        <v>498</v>
      </c>
      <c r="C100" s="727">
        <f>SUM(C96:C98)</f>
        <v>15000</v>
      </c>
      <c r="D100" s="671"/>
      <c r="E100" s="671"/>
      <c r="F100" s="671"/>
      <c r="G100" s="671"/>
      <c r="H100" s="666"/>
      <c r="I100" s="666"/>
      <c r="J100" s="666"/>
      <c r="K100" s="666"/>
      <c r="L100" s="666"/>
      <c r="M100" s="666"/>
      <c r="N100" s="666"/>
      <c r="O100" s="666"/>
      <c r="P100" s="666"/>
      <c r="Q100" s="666"/>
      <c r="R100" s="666"/>
      <c r="S100" s="666"/>
    </row>
    <row r="101" spans="2:19" x14ac:dyDescent="0.2">
      <c r="B101" s="671"/>
      <c r="C101" s="671"/>
      <c r="D101" s="671"/>
      <c r="E101" s="671"/>
      <c r="F101" s="671"/>
      <c r="G101" s="671"/>
      <c r="H101" s="666"/>
      <c r="I101" s="666"/>
      <c r="J101" s="666"/>
      <c r="K101" s="666"/>
      <c r="L101" s="666"/>
      <c r="M101" s="666"/>
      <c r="N101" s="666"/>
      <c r="O101" s="666"/>
      <c r="P101" s="666"/>
      <c r="Q101" s="666"/>
      <c r="R101" s="666"/>
      <c r="S101" s="666"/>
    </row>
    <row r="102" spans="2:19" x14ac:dyDescent="0.2">
      <c r="B102" s="670" t="s">
        <v>502</v>
      </c>
      <c r="C102" s="671"/>
      <c r="D102" s="673" t="s">
        <v>499</v>
      </c>
      <c r="E102" s="673"/>
      <c r="F102" s="673"/>
      <c r="G102" s="673"/>
      <c r="H102" s="673"/>
      <c r="I102" s="674"/>
      <c r="J102" s="674"/>
      <c r="K102" s="674"/>
      <c r="L102" s="674"/>
      <c r="M102" s="674"/>
      <c r="N102" s="674"/>
      <c r="O102" s="674"/>
      <c r="P102" s="674"/>
      <c r="Q102" s="674"/>
      <c r="R102" s="674"/>
      <c r="S102" s="674"/>
    </row>
    <row r="103" spans="2:19" x14ac:dyDescent="0.2">
      <c r="B103" s="670"/>
      <c r="C103" s="670" t="s">
        <v>500</v>
      </c>
      <c r="D103" s="670" t="s">
        <v>63</v>
      </c>
      <c r="E103" s="676"/>
      <c r="F103" s="676"/>
      <c r="G103" s="676"/>
      <c r="H103" s="666"/>
      <c r="I103" s="666"/>
      <c r="J103" s="666"/>
      <c r="K103" s="666"/>
      <c r="L103" s="666"/>
      <c r="M103" s="666"/>
      <c r="N103" s="666"/>
      <c r="O103" s="666"/>
      <c r="P103" s="666"/>
      <c r="Q103" s="666"/>
      <c r="R103" s="666"/>
      <c r="S103" s="666"/>
    </row>
    <row r="104" spans="2:19" x14ac:dyDescent="0.2">
      <c r="B104" s="676">
        <v>1</v>
      </c>
      <c r="C104" s="666"/>
      <c r="D104" s="666"/>
      <c r="E104" s="666"/>
      <c r="F104" s="666"/>
      <c r="G104" s="666"/>
      <c r="H104" s="666"/>
      <c r="I104" s="666"/>
      <c r="J104" s="666"/>
      <c r="K104" s="666"/>
      <c r="L104" s="666"/>
      <c r="M104" s="666"/>
      <c r="N104" s="666"/>
      <c r="O104" s="666"/>
      <c r="P104" s="666"/>
      <c r="Q104" s="666"/>
      <c r="R104" s="666"/>
      <c r="S104" s="666"/>
    </row>
    <row r="105" spans="2:19" x14ac:dyDescent="0.2">
      <c r="B105" s="676">
        <v>2</v>
      </c>
      <c r="C105" s="676"/>
      <c r="D105" s="676"/>
      <c r="E105" s="676"/>
      <c r="F105" s="676"/>
      <c r="G105" s="676"/>
      <c r="H105" s="677"/>
      <c r="I105" s="666"/>
      <c r="J105" s="666"/>
      <c r="K105" s="666"/>
      <c r="L105" s="666"/>
      <c r="M105" s="666"/>
      <c r="N105" s="666"/>
      <c r="O105" s="666"/>
      <c r="P105" s="666"/>
      <c r="Q105" s="666"/>
      <c r="R105" s="666"/>
      <c r="S105" s="666"/>
    </row>
    <row r="106" spans="2:19" x14ac:dyDescent="0.2">
      <c r="B106" s="676">
        <v>3</v>
      </c>
      <c r="C106" s="676"/>
      <c r="D106" s="676"/>
      <c r="E106" s="676"/>
      <c r="F106" s="676"/>
      <c r="G106" s="676"/>
      <c r="H106" s="677"/>
      <c r="I106" s="666"/>
      <c r="J106" s="666"/>
      <c r="K106" s="666"/>
      <c r="L106" s="666"/>
      <c r="M106" s="666"/>
      <c r="N106" s="666"/>
      <c r="O106" s="666"/>
      <c r="P106" s="666"/>
      <c r="Q106" s="666"/>
      <c r="R106" s="666"/>
      <c r="S106" s="666"/>
    </row>
    <row r="107" spans="2:19" x14ac:dyDescent="0.2">
      <c r="B107" s="671"/>
      <c r="C107" s="671"/>
      <c r="D107" s="671"/>
      <c r="E107" s="671"/>
      <c r="F107" s="671"/>
      <c r="G107" s="671"/>
      <c r="H107" s="666"/>
      <c r="I107" s="666"/>
      <c r="J107" s="666"/>
      <c r="K107" s="666"/>
      <c r="L107" s="666"/>
      <c r="M107" s="666"/>
      <c r="N107" s="666"/>
      <c r="O107" s="666"/>
      <c r="P107" s="666"/>
      <c r="Q107" s="666"/>
      <c r="R107" s="666"/>
      <c r="S107" s="666"/>
    </row>
    <row r="108" spans="2:19" x14ac:dyDescent="0.2">
      <c r="B108" s="726" t="s">
        <v>498</v>
      </c>
      <c r="C108" s="727">
        <f>SUM(C104:C106)</f>
        <v>0</v>
      </c>
      <c r="D108" s="671"/>
      <c r="E108" s="671"/>
      <c r="F108" s="671"/>
      <c r="G108" s="671"/>
      <c r="H108" s="666"/>
      <c r="I108" s="666"/>
      <c r="J108" s="666"/>
      <c r="K108" s="666"/>
      <c r="L108" s="666"/>
      <c r="M108" s="666"/>
      <c r="N108" s="666"/>
      <c r="O108" s="666"/>
      <c r="P108" s="666"/>
      <c r="Q108" s="666"/>
      <c r="R108" s="666"/>
      <c r="S108" s="666"/>
    </row>
    <row r="109" spans="2:19" x14ac:dyDescent="0.2">
      <c r="B109" s="670"/>
      <c r="C109" s="728"/>
      <c r="D109" s="671"/>
      <c r="E109" s="671"/>
      <c r="F109" s="671"/>
      <c r="G109" s="671"/>
      <c r="H109" s="666"/>
      <c r="I109" s="666"/>
      <c r="J109" s="666"/>
      <c r="K109" s="666"/>
      <c r="L109" s="666"/>
      <c r="M109" s="666"/>
      <c r="N109" s="666"/>
      <c r="O109" s="666"/>
      <c r="P109" s="666"/>
      <c r="Q109" s="666"/>
      <c r="R109" s="666"/>
      <c r="S109" s="666"/>
    </row>
    <row r="110" spans="2:19" x14ac:dyDescent="0.2">
      <c r="B110" s="670" t="s">
        <v>503</v>
      </c>
      <c r="C110" s="671"/>
      <c r="D110" s="673" t="s">
        <v>499</v>
      </c>
      <c r="E110" s="673"/>
      <c r="F110" s="673"/>
      <c r="G110" s="673"/>
      <c r="H110" s="673"/>
      <c r="I110" s="674"/>
      <c r="J110" s="674"/>
      <c r="K110" s="674"/>
      <c r="L110" s="674"/>
      <c r="M110" s="674"/>
      <c r="N110" s="674"/>
      <c r="O110" s="674"/>
      <c r="P110" s="674"/>
      <c r="Q110" s="674"/>
      <c r="R110" s="674"/>
      <c r="S110" s="674"/>
    </row>
    <row r="111" spans="2:19" x14ac:dyDescent="0.2">
      <c r="B111" s="670"/>
      <c r="C111" s="670" t="s">
        <v>500</v>
      </c>
      <c r="D111" s="670" t="s">
        <v>63</v>
      </c>
      <c r="E111" s="676"/>
      <c r="F111" s="676"/>
      <c r="G111" s="676"/>
      <c r="H111" s="666"/>
      <c r="I111" s="666"/>
      <c r="J111" s="666"/>
      <c r="K111" s="666"/>
      <c r="L111" s="666"/>
      <c r="M111" s="666"/>
      <c r="N111" s="666"/>
      <c r="O111" s="666"/>
      <c r="P111" s="666"/>
      <c r="Q111" s="666"/>
      <c r="R111" s="666"/>
      <c r="S111" s="666"/>
    </row>
    <row r="112" spans="2:19" x14ac:dyDescent="0.2">
      <c r="B112" s="676">
        <v>1</v>
      </c>
      <c r="C112" s="666"/>
      <c r="D112" s="666"/>
      <c r="E112" s="666"/>
      <c r="F112" s="666"/>
      <c r="G112" s="666"/>
      <c r="H112" s="666"/>
      <c r="I112" s="666"/>
      <c r="J112" s="666"/>
      <c r="K112" s="666"/>
      <c r="L112" s="666"/>
      <c r="M112" s="666"/>
      <c r="N112" s="666"/>
      <c r="O112" s="666"/>
      <c r="P112" s="666"/>
      <c r="Q112" s="666"/>
      <c r="R112" s="666"/>
      <c r="S112" s="666"/>
    </row>
    <row r="113" spans="2:19" x14ac:dyDescent="0.2">
      <c r="B113" s="676">
        <v>2</v>
      </c>
      <c r="C113" s="676"/>
      <c r="D113" s="676"/>
      <c r="E113" s="676"/>
      <c r="F113" s="676"/>
      <c r="G113" s="676"/>
      <c r="H113" s="677"/>
      <c r="I113" s="666"/>
      <c r="J113" s="666"/>
      <c r="K113" s="666"/>
      <c r="L113" s="666"/>
      <c r="M113" s="666"/>
      <c r="N113" s="666"/>
      <c r="O113" s="666"/>
      <c r="P113" s="666"/>
      <c r="Q113" s="666"/>
      <c r="R113" s="666"/>
      <c r="S113" s="666"/>
    </row>
    <row r="114" spans="2:19" x14ac:dyDescent="0.2">
      <c r="B114" s="676">
        <v>3</v>
      </c>
      <c r="C114" s="676"/>
      <c r="D114" s="676"/>
      <c r="E114" s="676"/>
      <c r="F114" s="676"/>
      <c r="G114" s="676"/>
      <c r="H114" s="677"/>
      <c r="I114" s="666"/>
      <c r="J114" s="666"/>
      <c r="K114" s="666"/>
      <c r="L114" s="666"/>
      <c r="M114" s="666"/>
      <c r="N114" s="666"/>
      <c r="O114" s="666"/>
      <c r="P114" s="666"/>
      <c r="Q114" s="666"/>
      <c r="R114" s="666"/>
      <c r="S114" s="666"/>
    </row>
    <row r="115" spans="2:19" x14ac:dyDescent="0.2">
      <c r="B115" s="671"/>
      <c r="C115" s="671"/>
      <c r="D115" s="671"/>
      <c r="E115" s="671"/>
      <c r="F115" s="671"/>
      <c r="G115" s="671"/>
      <c r="H115" s="666"/>
      <c r="I115" s="666"/>
      <c r="J115" s="666"/>
      <c r="K115" s="666"/>
      <c r="L115" s="666"/>
      <c r="M115" s="666"/>
      <c r="N115" s="666"/>
      <c r="O115" s="666"/>
      <c r="P115" s="666"/>
      <c r="Q115" s="666"/>
      <c r="R115" s="666"/>
      <c r="S115" s="666"/>
    </row>
    <row r="116" spans="2:19" x14ac:dyDescent="0.2">
      <c r="B116" s="726" t="s">
        <v>498</v>
      </c>
      <c r="C116" s="727">
        <f>SUM(C112:C114)</f>
        <v>0</v>
      </c>
      <c r="D116" s="671"/>
      <c r="E116" s="671"/>
      <c r="F116" s="671"/>
      <c r="G116" s="671"/>
      <c r="H116" s="666"/>
      <c r="I116" s="666"/>
      <c r="J116" s="666"/>
      <c r="K116" s="666"/>
      <c r="L116" s="666"/>
      <c r="M116" s="666"/>
      <c r="N116" s="666"/>
      <c r="O116" s="666"/>
      <c r="P116" s="666"/>
      <c r="Q116" s="666"/>
      <c r="R116" s="666"/>
      <c r="S116" s="666"/>
    </row>
    <row r="117" spans="2:19" ht="15.75" thickBot="1" x14ac:dyDescent="0.3">
      <c r="B117" s="671"/>
      <c r="C117" s="671"/>
      <c r="D117" s="671"/>
      <c r="E117" s="671"/>
      <c r="F117" s="671"/>
      <c r="G117" s="671"/>
      <c r="H117"/>
      <c r="I117"/>
      <c r="J117" s="666"/>
      <c r="K117" s="666"/>
      <c r="L117" s="666"/>
      <c r="M117" s="666"/>
      <c r="N117" s="666"/>
      <c r="O117" s="666"/>
      <c r="P117" s="666"/>
      <c r="Q117" s="666"/>
      <c r="R117" s="666"/>
      <c r="S117" s="666"/>
    </row>
    <row r="118" spans="2:19" ht="20.25" x14ac:dyDescent="0.25">
      <c r="B118" s="729" t="s">
        <v>115</v>
      </c>
      <c r="C118" s="729"/>
      <c r="D118" s="730"/>
      <c r="E118" s="730"/>
      <c r="F118" s="731"/>
      <c r="G118" s="731"/>
      <c r="H118"/>
      <c r="I118"/>
      <c r="J118"/>
      <c r="K118"/>
      <c r="L118"/>
      <c r="M118"/>
      <c r="N118"/>
      <c r="O118"/>
      <c r="P118"/>
      <c r="Q118"/>
      <c r="R118"/>
      <c r="S118"/>
    </row>
    <row r="119" spans="2:19" ht="15" x14ac:dyDescent="0.25">
      <c r="B119" s="732"/>
      <c r="C119" s="732"/>
      <c r="D119"/>
      <c r="E119"/>
      <c r="F119" s="733"/>
      <c r="G119" s="733"/>
      <c r="H119"/>
      <c r="I119"/>
      <c r="J119"/>
      <c r="K119"/>
      <c r="L119"/>
      <c r="M119"/>
      <c r="N119"/>
      <c r="O119"/>
      <c r="P119"/>
      <c r="Q119"/>
      <c r="R119"/>
      <c r="S119"/>
    </row>
    <row r="120" spans="2:19" ht="15" x14ac:dyDescent="0.25">
      <c r="B120" s="734" t="s">
        <v>116</v>
      </c>
      <c r="C120" s="734" t="s">
        <v>504</v>
      </c>
      <c r="D120"/>
      <c r="E120"/>
      <c r="F120"/>
      <c r="G120"/>
      <c r="H120" s="666"/>
      <c r="I120" s="666"/>
      <c r="J120" s="666"/>
      <c r="K120" s="666"/>
      <c r="L120"/>
      <c r="M120"/>
      <c r="N120"/>
      <c r="O120"/>
      <c r="P120"/>
      <c r="Q120"/>
      <c r="R120"/>
      <c r="S120"/>
    </row>
    <row r="121" spans="2:19" x14ac:dyDescent="0.2">
      <c r="B121" s="735">
        <v>0.2</v>
      </c>
      <c r="C121" s="736" t="s">
        <v>505</v>
      </c>
      <c r="D121" s="673"/>
      <c r="E121" s="673"/>
      <c r="F121" s="673"/>
      <c r="G121" s="673"/>
      <c r="H121" s="673"/>
      <c r="I121" s="666"/>
      <c r="J121" s="666"/>
      <c r="K121" s="666"/>
      <c r="L121" s="666"/>
      <c r="M121" s="666"/>
      <c r="N121" s="666"/>
      <c r="O121" s="666"/>
      <c r="P121" s="666"/>
      <c r="Q121" s="666"/>
      <c r="R121" s="666"/>
      <c r="S121" s="666"/>
    </row>
    <row r="126" spans="2:19" ht="15" thickBot="1" x14ac:dyDescent="0.25"/>
    <row r="127" spans="2:19" ht="21" thickBot="1" x14ac:dyDescent="0.25">
      <c r="B127" s="663" t="s">
        <v>506</v>
      </c>
      <c r="C127" s="664"/>
      <c r="D127" s="664"/>
      <c r="E127" s="664"/>
      <c r="F127" s="664"/>
      <c r="G127" s="664"/>
      <c r="H127" s="664"/>
      <c r="I127" s="664"/>
      <c r="J127" s="664"/>
      <c r="K127" s="664"/>
      <c r="L127" s="665"/>
      <c r="M127" s="666"/>
      <c r="N127" s="666"/>
      <c r="O127" s="666"/>
      <c r="P127" s="666"/>
      <c r="Q127" s="666"/>
      <c r="R127" s="666"/>
    </row>
    <row r="128" spans="2:19" ht="20.25" x14ac:dyDescent="0.2">
      <c r="B128" s="667" t="s">
        <v>108</v>
      </c>
      <c r="C128" s="668"/>
      <c r="D128" s="669"/>
      <c r="E128" s="669"/>
      <c r="F128" s="669"/>
      <c r="G128" s="669"/>
      <c r="H128" s="669"/>
      <c r="I128" s="669"/>
      <c r="J128" s="669"/>
      <c r="K128" s="669"/>
      <c r="L128" s="669"/>
      <c r="M128" s="666"/>
      <c r="N128" s="666"/>
      <c r="O128" s="666"/>
      <c r="P128" s="666"/>
      <c r="Q128" s="666"/>
      <c r="R128" s="666"/>
    </row>
    <row r="129" spans="2:18" ht="20.25" x14ac:dyDescent="0.2">
      <c r="B129" s="670" t="s">
        <v>485</v>
      </c>
      <c r="C129" s="671"/>
      <c r="D129" s="671"/>
      <c r="E129" s="671"/>
      <c r="F129" s="671"/>
      <c r="G129" s="671"/>
      <c r="H129" s="666"/>
      <c r="I129" s="672"/>
      <c r="J129" s="672"/>
      <c r="K129" s="672"/>
      <c r="L129" s="672"/>
      <c r="M129" s="666"/>
      <c r="N129" s="666"/>
      <c r="O129" s="666"/>
      <c r="P129" s="666"/>
      <c r="Q129" s="666"/>
      <c r="R129" s="666"/>
    </row>
    <row r="130" spans="2:18" ht="20.25" x14ac:dyDescent="0.2">
      <c r="B130" s="673" t="s">
        <v>486</v>
      </c>
      <c r="C130" s="673"/>
      <c r="D130" s="673"/>
      <c r="E130" s="673"/>
      <c r="F130" s="673"/>
      <c r="G130" s="673"/>
      <c r="H130" s="674"/>
      <c r="I130" s="675"/>
      <c r="J130" s="672"/>
      <c r="K130" s="672"/>
      <c r="L130" s="672"/>
      <c r="M130" s="666"/>
      <c r="N130" s="666"/>
      <c r="O130" s="666"/>
      <c r="P130" s="666"/>
      <c r="Q130" s="666"/>
      <c r="R130" s="666"/>
    </row>
    <row r="131" spans="2:18" ht="20.25" x14ac:dyDescent="0.2">
      <c r="B131" s="673" t="s">
        <v>487</v>
      </c>
      <c r="C131" s="673"/>
      <c r="D131" s="673"/>
      <c r="E131" s="673"/>
      <c r="F131" s="673"/>
      <c r="G131" s="673"/>
      <c r="H131" s="674"/>
      <c r="I131" s="675"/>
      <c r="J131" s="672"/>
      <c r="K131" s="672"/>
      <c r="L131" s="672"/>
      <c r="M131" s="666"/>
      <c r="N131" s="666"/>
      <c r="O131" s="666"/>
      <c r="P131" s="666"/>
      <c r="Q131" s="666"/>
      <c r="R131" s="666"/>
    </row>
    <row r="132" spans="2:18" ht="20.25" x14ac:dyDescent="0.2">
      <c r="B132" s="676"/>
      <c r="C132" s="676"/>
      <c r="D132" s="676"/>
      <c r="E132" s="676"/>
      <c r="F132" s="676"/>
      <c r="G132" s="676"/>
      <c r="H132" s="677"/>
      <c r="I132" s="672"/>
      <c r="J132" s="672"/>
      <c r="K132" s="672"/>
      <c r="L132" s="672"/>
      <c r="M132" s="677"/>
      <c r="N132" s="677"/>
      <c r="O132" s="677"/>
      <c r="P132" s="677"/>
      <c r="Q132" s="677"/>
      <c r="R132" s="677"/>
    </row>
    <row r="133" spans="2:18" ht="51" x14ac:dyDescent="0.2">
      <c r="B133" s="678" t="s">
        <v>488</v>
      </c>
      <c r="C133" s="678" t="s">
        <v>334</v>
      </c>
      <c r="D133" s="679" t="s">
        <v>489</v>
      </c>
      <c r="E133" s="680"/>
      <c r="F133" s="681"/>
      <c r="G133" s="682"/>
      <c r="H133" s="683" t="s">
        <v>490</v>
      </c>
      <c r="I133" s="684"/>
      <c r="J133" s="684"/>
      <c r="K133" s="684"/>
      <c r="L133" s="684"/>
      <c r="M133" s="684"/>
      <c r="N133" s="684"/>
      <c r="O133" s="684"/>
      <c r="P133" s="684"/>
      <c r="Q133" s="684"/>
      <c r="R133" s="684"/>
    </row>
    <row r="134" spans="2:18" ht="15" x14ac:dyDescent="0.25">
      <c r="B134" s="685"/>
      <c r="C134" s="685"/>
      <c r="D134" s="1100"/>
      <c r="E134" s="1101"/>
      <c r="F134" s="1101"/>
      <c r="G134" s="1102"/>
      <c r="H134" s="737"/>
      <c r="I134" s="666"/>
      <c r="J134" s="666"/>
      <c r="K134" s="666"/>
      <c r="L134" s="666"/>
      <c r="M134" s="666"/>
      <c r="N134" s="666"/>
      <c r="O134" s="666"/>
      <c r="P134" s="666"/>
      <c r="Q134" s="666"/>
      <c r="R134" s="666"/>
    </row>
    <row r="135" spans="2:18" ht="15" x14ac:dyDescent="0.25">
      <c r="B135" s="687"/>
      <c r="C135" s="687"/>
      <c r="D135" s="1103"/>
      <c r="E135" s="1104"/>
      <c r="F135" s="1104"/>
      <c r="G135" s="1105"/>
      <c r="H135" s="738"/>
      <c r="I135" s="666"/>
      <c r="J135" s="666"/>
      <c r="K135" s="666"/>
      <c r="L135" s="666"/>
      <c r="M135" s="666"/>
      <c r="N135" s="666"/>
      <c r="O135" s="666"/>
      <c r="P135" s="666"/>
      <c r="Q135" s="666"/>
      <c r="R135" s="666"/>
    </row>
    <row r="136" spans="2:18" ht="15" x14ac:dyDescent="0.25">
      <c r="B136" s="739"/>
      <c r="C136" s="740"/>
      <c r="D136" s="1103"/>
      <c r="E136" s="1104"/>
      <c r="F136" s="1104"/>
      <c r="G136" s="1105"/>
      <c r="H136" s="738"/>
      <c r="I136" s="666"/>
      <c r="J136" s="666"/>
      <c r="K136" s="666"/>
      <c r="L136" s="666"/>
      <c r="M136" s="666"/>
      <c r="N136" s="666"/>
      <c r="O136" s="666"/>
      <c r="P136" s="666"/>
      <c r="Q136" s="666"/>
      <c r="R136" s="666"/>
    </row>
    <row r="137" spans="2:18" ht="15" x14ac:dyDescent="0.25">
      <c r="B137" s="741"/>
      <c r="C137" s="742"/>
      <c r="D137" s="1106"/>
      <c r="E137" s="1107"/>
      <c r="F137" s="1107"/>
      <c r="G137" s="1108"/>
      <c r="H137" s="743"/>
      <c r="I137" s="666"/>
      <c r="J137" s="666"/>
      <c r="K137" s="666"/>
      <c r="L137" s="666"/>
      <c r="M137" s="666"/>
      <c r="N137" s="666"/>
      <c r="O137" s="666"/>
      <c r="P137" s="666"/>
      <c r="Q137" s="666"/>
      <c r="R137" s="666"/>
    </row>
    <row r="138" spans="2:18" ht="15" x14ac:dyDescent="0.25">
      <c r="B138" s="694"/>
      <c r="C138" s="695"/>
      <c r="D138" s="696"/>
      <c r="E138" s="696"/>
      <c r="F138" s="697"/>
      <c r="G138" s="697"/>
      <c r="H138" s="698"/>
      <c r="I138" s="699"/>
      <c r="J138" s="699"/>
      <c r="K138" s="700"/>
      <c r="L138" s="666"/>
      <c r="M138" s="666"/>
      <c r="N138" s="666"/>
      <c r="O138" s="666"/>
      <c r="P138" s="666"/>
      <c r="Q138" s="666"/>
      <c r="R138" s="666"/>
    </row>
    <row r="139" spans="2:18" ht="20.25" x14ac:dyDescent="0.2">
      <c r="B139" s="673" t="s">
        <v>493</v>
      </c>
      <c r="C139" s="673"/>
      <c r="D139" s="673"/>
      <c r="E139" s="673"/>
      <c r="F139" s="673"/>
      <c r="G139" s="673"/>
      <c r="H139" s="673"/>
      <c r="I139" s="673"/>
      <c r="J139" s="672"/>
      <c r="K139" s="672"/>
      <c r="L139" s="666"/>
      <c r="M139" s="666"/>
      <c r="N139" s="666"/>
      <c r="O139" s="666"/>
      <c r="P139" s="666"/>
      <c r="Q139" s="666"/>
      <c r="R139" s="666"/>
    </row>
    <row r="140" spans="2:18" ht="38.25" x14ac:dyDescent="0.2">
      <c r="B140" s="683" t="s">
        <v>235</v>
      </c>
      <c r="C140" s="683" t="s">
        <v>334</v>
      </c>
      <c r="D140" s="678" t="s">
        <v>494</v>
      </c>
      <c r="E140" s="683" t="s">
        <v>495</v>
      </c>
      <c r="F140" s="683" t="s">
        <v>496</v>
      </c>
      <c r="G140" s="683" t="s">
        <v>497</v>
      </c>
      <c r="H140" s="666"/>
      <c r="I140" s="666"/>
      <c r="J140" s="666"/>
      <c r="K140" s="666"/>
      <c r="L140" s="684"/>
      <c r="M140" s="684"/>
      <c r="N140" s="684"/>
      <c r="O140" s="684"/>
      <c r="P140" s="684"/>
      <c r="Q140" s="684"/>
      <c r="R140" s="684"/>
    </row>
    <row r="141" spans="2:18" x14ac:dyDescent="0.2">
      <c r="B141" s="701">
        <f t="shared" ref="B141:C144" si="2">B134</f>
        <v>0</v>
      </c>
      <c r="C141" s="702">
        <f t="shared" si="2"/>
        <v>0</v>
      </c>
      <c r="D141" s="703"/>
      <c r="E141" s="704">
        <f>H134*'[10]Form 2C - Cost Recovery'!$D$25</f>
        <v>0</v>
      </c>
      <c r="F141" s="705">
        <f>D141/2080</f>
        <v>0</v>
      </c>
      <c r="G141" s="706">
        <f>$E141*F141</f>
        <v>0</v>
      </c>
      <c r="H141" s="666"/>
      <c r="I141" s="666"/>
      <c r="J141" s="666"/>
      <c r="K141" s="666"/>
      <c r="L141" s="666"/>
      <c r="M141" s="666"/>
      <c r="N141" s="666"/>
      <c r="O141" s="666"/>
      <c r="P141" s="666"/>
      <c r="Q141" s="666"/>
      <c r="R141" s="666"/>
    </row>
    <row r="142" spans="2:18" x14ac:dyDescent="0.2">
      <c r="B142" s="707">
        <f t="shared" si="2"/>
        <v>0</v>
      </c>
      <c r="C142" s="708">
        <f t="shared" si="2"/>
        <v>0</v>
      </c>
      <c r="D142" s="709"/>
      <c r="E142" s="710">
        <f>H135*'[10]Form 2C - Cost Recovery'!$D$25</f>
        <v>0</v>
      </c>
      <c r="F142" s="711">
        <f>D142/2080</f>
        <v>0</v>
      </c>
      <c r="G142" s="712">
        <f>$E142*F142</f>
        <v>0</v>
      </c>
      <c r="H142" s="666"/>
      <c r="I142" s="666"/>
      <c r="J142" s="666"/>
      <c r="K142" s="666"/>
      <c r="L142" s="666"/>
      <c r="M142" s="666"/>
      <c r="N142" s="666"/>
      <c r="O142" s="666"/>
      <c r="P142" s="666"/>
      <c r="Q142" s="666"/>
      <c r="R142" s="666"/>
    </row>
    <row r="143" spans="2:18" x14ac:dyDescent="0.2">
      <c r="B143" s="707">
        <f t="shared" si="2"/>
        <v>0</v>
      </c>
      <c r="C143" s="708">
        <f t="shared" si="2"/>
        <v>0</v>
      </c>
      <c r="D143" s="709"/>
      <c r="E143" s="710">
        <f>H136*'[10]Form 2C - Cost Recovery'!$D$25</f>
        <v>0</v>
      </c>
      <c r="F143" s="711">
        <f>D143/2080</f>
        <v>0</v>
      </c>
      <c r="G143" s="712">
        <f>$E143*F143</f>
        <v>0</v>
      </c>
      <c r="H143" s="666"/>
      <c r="I143" s="666"/>
      <c r="J143" s="666"/>
      <c r="K143" s="666"/>
      <c r="L143" s="666"/>
      <c r="M143" s="666"/>
      <c r="N143" s="666"/>
      <c r="O143" s="666"/>
      <c r="P143" s="666"/>
      <c r="Q143" s="666"/>
      <c r="R143" s="666"/>
    </row>
    <row r="144" spans="2:18" x14ac:dyDescent="0.2">
      <c r="B144" s="707">
        <f t="shared" si="2"/>
        <v>0</v>
      </c>
      <c r="C144" s="713">
        <f t="shared" si="2"/>
        <v>0</v>
      </c>
      <c r="D144" s="714"/>
      <c r="E144" s="715">
        <f>H137*'[10]Form 2C - Cost Recovery'!$D$25</f>
        <v>0</v>
      </c>
      <c r="F144" s="711">
        <f>D144/2080</f>
        <v>0</v>
      </c>
      <c r="G144" s="716">
        <f>$E144*F144</f>
        <v>0</v>
      </c>
      <c r="H144" s="666"/>
      <c r="I144" s="666"/>
      <c r="J144" s="666"/>
      <c r="K144" s="666"/>
      <c r="L144" s="666"/>
      <c r="M144" s="666"/>
      <c r="N144" s="666"/>
      <c r="O144" s="666"/>
      <c r="P144" s="666"/>
      <c r="Q144" s="666"/>
      <c r="R144" s="666"/>
    </row>
    <row r="145" spans="2:18" x14ac:dyDescent="0.2">
      <c r="B145" s="717"/>
      <c r="C145" s="717"/>
      <c r="D145" s="666"/>
      <c r="E145" s="718"/>
      <c r="F145" s="719" t="s">
        <v>498</v>
      </c>
      <c r="G145" s="720">
        <f>SUM(G141:G144)</f>
        <v>0</v>
      </c>
      <c r="H145" s="666"/>
      <c r="I145" s="666"/>
      <c r="J145" s="666"/>
      <c r="K145" s="666"/>
      <c r="L145" s="666"/>
      <c r="M145" s="666"/>
      <c r="N145" s="666"/>
      <c r="O145" s="666"/>
      <c r="P145" s="666"/>
      <c r="Q145" s="666"/>
      <c r="R145" s="666"/>
    </row>
    <row r="146" spans="2:18" x14ac:dyDescent="0.2">
      <c r="B146" s="721"/>
      <c r="C146" s="722"/>
      <c r="D146" s="723"/>
      <c r="E146" s="724"/>
      <c r="F146" s="724"/>
      <c r="G146" s="725"/>
      <c r="H146" s="666"/>
      <c r="I146" s="666"/>
      <c r="J146" s="666"/>
      <c r="K146" s="666"/>
      <c r="L146" s="666"/>
      <c r="M146" s="666"/>
      <c r="N146" s="666"/>
      <c r="O146" s="666"/>
      <c r="P146" s="666"/>
      <c r="Q146" s="666"/>
      <c r="R146" s="666"/>
    </row>
    <row r="147" spans="2:18" x14ac:dyDescent="0.2">
      <c r="B147" s="666"/>
      <c r="C147" s="666"/>
      <c r="D147" s="666"/>
      <c r="E147" s="666"/>
      <c r="F147" s="666"/>
      <c r="G147" s="666"/>
      <c r="H147" s="666"/>
      <c r="I147" s="666"/>
      <c r="J147" s="666"/>
      <c r="K147" s="666"/>
      <c r="L147" s="666"/>
      <c r="M147" s="666"/>
      <c r="N147" s="666"/>
      <c r="O147" s="666"/>
      <c r="P147" s="666"/>
      <c r="Q147" s="666"/>
      <c r="R147" s="666"/>
    </row>
    <row r="148" spans="2:18" x14ac:dyDescent="0.2">
      <c r="B148" s="670" t="s">
        <v>111</v>
      </c>
      <c r="C148" s="671"/>
      <c r="D148" s="673" t="s">
        <v>499</v>
      </c>
      <c r="E148" s="673"/>
      <c r="F148" s="673"/>
      <c r="G148" s="673"/>
      <c r="H148" s="673"/>
      <c r="I148" s="674"/>
      <c r="J148" s="674"/>
      <c r="K148" s="674"/>
      <c r="L148" s="674"/>
      <c r="M148" s="674"/>
      <c r="N148" s="674"/>
      <c r="O148" s="674"/>
      <c r="P148" s="674"/>
      <c r="Q148" s="674"/>
      <c r="R148" s="674"/>
    </row>
    <row r="149" spans="2:18" x14ac:dyDescent="0.2">
      <c r="B149" s="670"/>
      <c r="C149" s="670" t="s">
        <v>500</v>
      </c>
      <c r="D149" s="670" t="s">
        <v>63</v>
      </c>
      <c r="E149" s="671"/>
      <c r="F149" s="671"/>
      <c r="G149" s="671"/>
      <c r="H149" s="666"/>
      <c r="I149" s="666"/>
      <c r="J149" s="666"/>
      <c r="K149" s="666"/>
      <c r="L149" s="666"/>
      <c r="M149" s="666"/>
      <c r="N149" s="666"/>
      <c r="O149" s="666"/>
      <c r="P149" s="666"/>
      <c r="Q149" s="666"/>
      <c r="R149" s="666"/>
    </row>
    <row r="150" spans="2:18" x14ac:dyDescent="0.2">
      <c r="B150" s="676">
        <v>1</v>
      </c>
      <c r="C150" s="666"/>
      <c r="D150" s="666"/>
      <c r="E150" s="666"/>
      <c r="F150" s="666"/>
      <c r="G150" s="666"/>
      <c r="H150" s="666"/>
      <c r="I150" s="666"/>
      <c r="J150" s="666"/>
      <c r="K150" s="666"/>
      <c r="L150" s="666"/>
      <c r="M150" s="666"/>
      <c r="N150" s="666"/>
      <c r="O150" s="666"/>
      <c r="P150" s="666"/>
      <c r="Q150" s="666"/>
      <c r="R150" s="666"/>
    </row>
    <row r="151" spans="2:18" x14ac:dyDescent="0.2">
      <c r="B151" s="676">
        <v>2</v>
      </c>
      <c r="C151" s="676"/>
      <c r="D151" s="676"/>
      <c r="E151" s="676"/>
      <c r="F151" s="676"/>
      <c r="G151" s="676"/>
      <c r="H151" s="677"/>
      <c r="I151" s="666"/>
      <c r="J151" s="666"/>
      <c r="K151" s="666"/>
      <c r="L151" s="666"/>
      <c r="M151" s="666"/>
      <c r="N151" s="666"/>
      <c r="O151" s="666"/>
      <c r="P151" s="666"/>
      <c r="Q151" s="666"/>
      <c r="R151" s="666"/>
    </row>
    <row r="152" spans="2:18" x14ac:dyDescent="0.2">
      <c r="B152" s="676">
        <v>3</v>
      </c>
      <c r="C152" s="676"/>
      <c r="D152" s="676"/>
      <c r="E152" s="676"/>
      <c r="F152" s="676"/>
      <c r="G152" s="676"/>
      <c r="H152" s="677"/>
      <c r="I152" s="666"/>
      <c r="J152" s="666"/>
      <c r="K152" s="666"/>
      <c r="L152" s="666"/>
      <c r="M152" s="666"/>
      <c r="N152" s="666"/>
      <c r="O152" s="666"/>
      <c r="P152" s="666"/>
      <c r="Q152" s="666"/>
      <c r="R152" s="666"/>
    </row>
    <row r="153" spans="2:18" x14ac:dyDescent="0.2">
      <c r="B153" s="671"/>
      <c r="C153" s="671"/>
      <c r="D153" s="671"/>
      <c r="E153" s="671"/>
      <c r="F153" s="671"/>
      <c r="G153" s="671"/>
      <c r="H153" s="666"/>
      <c r="I153" s="666"/>
      <c r="J153" s="666"/>
      <c r="K153" s="666"/>
      <c r="L153" s="666"/>
      <c r="M153" s="666"/>
      <c r="N153" s="666"/>
      <c r="O153" s="666"/>
      <c r="P153" s="666"/>
      <c r="Q153" s="666"/>
      <c r="R153" s="666"/>
    </row>
    <row r="154" spans="2:18" x14ac:dyDescent="0.2">
      <c r="B154" s="726" t="s">
        <v>498</v>
      </c>
      <c r="C154" s="727">
        <f>SUM(C150:C152)</f>
        <v>0</v>
      </c>
      <c r="D154" s="671"/>
      <c r="E154" s="671"/>
      <c r="F154" s="671"/>
      <c r="G154" s="671"/>
      <c r="H154" s="666"/>
      <c r="I154" s="666"/>
      <c r="J154" s="666"/>
      <c r="K154" s="666"/>
      <c r="L154" s="666"/>
      <c r="M154" s="666"/>
      <c r="N154" s="666"/>
      <c r="O154" s="666"/>
      <c r="P154" s="666"/>
      <c r="Q154" s="666"/>
      <c r="R154" s="666"/>
    </row>
    <row r="155" spans="2:18" x14ac:dyDescent="0.2">
      <c r="B155" s="671"/>
      <c r="C155" s="671"/>
      <c r="D155" s="671"/>
      <c r="E155" s="671"/>
      <c r="F155" s="671"/>
      <c r="G155" s="671"/>
      <c r="H155" s="666"/>
      <c r="I155" s="666"/>
      <c r="J155" s="666"/>
      <c r="K155" s="666"/>
      <c r="L155" s="666"/>
      <c r="M155" s="666"/>
      <c r="N155" s="666"/>
      <c r="O155" s="666"/>
      <c r="P155" s="666"/>
      <c r="Q155" s="666"/>
      <c r="R155" s="666"/>
    </row>
    <row r="156" spans="2:18" x14ac:dyDescent="0.2">
      <c r="B156" s="670" t="s">
        <v>502</v>
      </c>
      <c r="C156" s="671"/>
      <c r="D156" s="673" t="s">
        <v>499</v>
      </c>
      <c r="E156" s="673"/>
      <c r="F156" s="673"/>
      <c r="G156" s="673"/>
      <c r="H156" s="673"/>
      <c r="I156" s="674"/>
      <c r="J156" s="674"/>
      <c r="K156" s="674"/>
      <c r="L156" s="674"/>
      <c r="M156" s="674"/>
      <c r="N156" s="674"/>
      <c r="O156" s="674"/>
      <c r="P156" s="674"/>
      <c r="Q156" s="674"/>
      <c r="R156" s="674"/>
    </row>
    <row r="157" spans="2:18" x14ac:dyDescent="0.2">
      <c r="B157" s="670"/>
      <c r="C157" s="670" t="s">
        <v>500</v>
      </c>
      <c r="D157" s="670" t="s">
        <v>63</v>
      </c>
      <c r="E157" s="676"/>
      <c r="F157" s="676"/>
      <c r="G157" s="676"/>
      <c r="H157" s="666"/>
      <c r="I157" s="666"/>
      <c r="J157" s="666"/>
      <c r="K157" s="666"/>
      <c r="L157" s="666"/>
      <c r="M157" s="666"/>
      <c r="N157" s="666"/>
      <c r="O157" s="666"/>
      <c r="P157" s="666"/>
      <c r="Q157" s="666"/>
      <c r="R157" s="666"/>
    </row>
    <row r="158" spans="2:18" x14ac:dyDescent="0.2">
      <c r="B158" s="676">
        <v>1</v>
      </c>
      <c r="C158" s="666"/>
      <c r="D158" s="666"/>
      <c r="E158" s="666"/>
      <c r="F158" s="666"/>
      <c r="G158" s="666"/>
      <c r="H158" s="666"/>
      <c r="I158" s="666"/>
      <c r="J158" s="666"/>
      <c r="K158" s="666"/>
      <c r="L158" s="666"/>
      <c r="M158" s="666"/>
      <c r="N158" s="666"/>
      <c r="O158" s="666"/>
      <c r="P158" s="666"/>
      <c r="Q158" s="666"/>
      <c r="R158" s="666"/>
    </row>
    <row r="159" spans="2:18" x14ac:dyDescent="0.2">
      <c r="B159" s="676">
        <v>2</v>
      </c>
      <c r="C159" s="676"/>
      <c r="D159" s="676"/>
      <c r="E159" s="676"/>
      <c r="F159" s="676"/>
      <c r="G159" s="676"/>
      <c r="H159" s="677"/>
      <c r="I159" s="666"/>
      <c r="J159" s="666"/>
      <c r="K159" s="666"/>
      <c r="L159" s="666"/>
      <c r="M159" s="666"/>
      <c r="N159" s="666"/>
      <c r="O159" s="666"/>
      <c r="P159" s="666"/>
      <c r="Q159" s="666"/>
      <c r="R159" s="666"/>
    </row>
    <row r="160" spans="2:18" x14ac:dyDescent="0.2">
      <c r="B160" s="676">
        <v>3</v>
      </c>
      <c r="C160" s="676"/>
      <c r="D160" s="676"/>
      <c r="E160" s="676"/>
      <c r="F160" s="676"/>
      <c r="G160" s="676"/>
      <c r="H160" s="677"/>
      <c r="I160" s="666"/>
      <c r="J160" s="666"/>
      <c r="K160" s="666"/>
      <c r="L160" s="666"/>
      <c r="M160" s="666"/>
      <c r="N160" s="666"/>
      <c r="O160" s="666"/>
      <c r="P160" s="666"/>
      <c r="Q160" s="666"/>
      <c r="R160" s="666"/>
    </row>
    <row r="161" spans="2:18" x14ac:dyDescent="0.2">
      <c r="B161" s="671"/>
      <c r="C161" s="671"/>
      <c r="D161" s="671"/>
      <c r="E161" s="671"/>
      <c r="F161" s="671"/>
      <c r="G161" s="671"/>
      <c r="H161" s="666"/>
      <c r="I161" s="666"/>
      <c r="J161" s="666"/>
      <c r="K161" s="666"/>
      <c r="L161" s="666"/>
      <c r="M161" s="666"/>
      <c r="N161" s="666"/>
      <c r="O161" s="666"/>
      <c r="P161" s="666"/>
      <c r="Q161" s="666"/>
      <c r="R161" s="666"/>
    </row>
    <row r="162" spans="2:18" x14ac:dyDescent="0.2">
      <c r="B162" s="726" t="s">
        <v>498</v>
      </c>
      <c r="C162" s="727">
        <f>SUM(C158:C160)</f>
        <v>0</v>
      </c>
      <c r="D162" s="671"/>
      <c r="E162" s="671"/>
      <c r="F162" s="671"/>
      <c r="G162" s="671"/>
      <c r="H162" s="666"/>
      <c r="I162" s="666"/>
      <c r="J162" s="666"/>
      <c r="K162" s="666"/>
      <c r="L162" s="666"/>
      <c r="M162" s="666"/>
      <c r="N162" s="666"/>
      <c r="O162" s="666"/>
      <c r="P162" s="666"/>
      <c r="Q162" s="666"/>
      <c r="R162" s="666"/>
    </row>
    <row r="163" spans="2:18" x14ac:dyDescent="0.2">
      <c r="B163" s="670"/>
      <c r="C163" s="728"/>
      <c r="D163" s="671"/>
      <c r="E163" s="671"/>
      <c r="F163" s="671"/>
      <c r="G163" s="671"/>
      <c r="H163" s="666"/>
      <c r="I163" s="666"/>
      <c r="J163" s="666"/>
      <c r="K163" s="666"/>
      <c r="L163" s="666"/>
      <c r="M163" s="666"/>
      <c r="N163" s="666"/>
      <c r="O163" s="666"/>
      <c r="P163" s="666"/>
      <c r="Q163" s="666"/>
      <c r="R163" s="666"/>
    </row>
    <row r="164" spans="2:18" x14ac:dyDescent="0.2">
      <c r="B164" s="670" t="s">
        <v>503</v>
      </c>
      <c r="C164" s="671"/>
      <c r="D164" s="673" t="s">
        <v>499</v>
      </c>
      <c r="E164" s="673"/>
      <c r="F164" s="673"/>
      <c r="G164" s="673"/>
      <c r="H164" s="673"/>
      <c r="I164" s="674"/>
      <c r="J164" s="674"/>
      <c r="K164" s="674"/>
      <c r="L164" s="674"/>
      <c r="M164" s="674"/>
      <c r="N164" s="674"/>
      <c r="O164" s="674"/>
      <c r="P164" s="674"/>
      <c r="Q164" s="674"/>
      <c r="R164" s="674"/>
    </row>
    <row r="165" spans="2:18" x14ac:dyDescent="0.2">
      <c r="B165" s="670"/>
      <c r="C165" s="670" t="s">
        <v>500</v>
      </c>
      <c r="D165" s="670" t="s">
        <v>63</v>
      </c>
      <c r="E165" s="676"/>
      <c r="F165" s="676"/>
      <c r="G165" s="676"/>
      <c r="H165" s="666"/>
      <c r="I165" s="666"/>
      <c r="J165" s="666"/>
      <c r="K165" s="666"/>
      <c r="L165" s="666"/>
      <c r="M165" s="666"/>
      <c r="N165" s="666"/>
      <c r="O165" s="666"/>
      <c r="P165" s="666"/>
      <c r="Q165" s="666"/>
      <c r="R165" s="666"/>
    </row>
    <row r="166" spans="2:18" x14ac:dyDescent="0.2">
      <c r="B166" s="676">
        <v>1</v>
      </c>
      <c r="C166" s="666"/>
      <c r="D166" s="666"/>
      <c r="E166" s="666"/>
      <c r="F166" s="666"/>
      <c r="G166" s="666"/>
      <c r="H166" s="666"/>
      <c r="I166" s="666"/>
      <c r="J166" s="666"/>
      <c r="K166" s="666"/>
      <c r="L166" s="666"/>
      <c r="M166" s="666"/>
      <c r="N166" s="666"/>
      <c r="O166" s="666"/>
      <c r="P166" s="666"/>
      <c r="Q166" s="666"/>
      <c r="R166" s="666"/>
    </row>
    <row r="167" spans="2:18" x14ac:dyDescent="0.2">
      <c r="B167" s="676">
        <v>2</v>
      </c>
      <c r="C167" s="676"/>
      <c r="D167" s="676"/>
      <c r="E167" s="676"/>
      <c r="F167" s="676"/>
      <c r="G167" s="676"/>
      <c r="H167" s="677"/>
      <c r="I167" s="666"/>
      <c r="J167" s="666"/>
      <c r="K167" s="666"/>
      <c r="L167" s="666"/>
      <c r="M167" s="666"/>
      <c r="N167" s="666"/>
      <c r="O167" s="666"/>
      <c r="P167" s="666"/>
      <c r="Q167" s="666"/>
      <c r="R167" s="666"/>
    </row>
    <row r="168" spans="2:18" x14ac:dyDescent="0.2">
      <c r="B168" s="676">
        <v>3</v>
      </c>
      <c r="C168" s="676"/>
      <c r="D168" s="676"/>
      <c r="E168" s="676"/>
      <c r="F168" s="676"/>
      <c r="G168" s="676"/>
      <c r="H168" s="677"/>
      <c r="I168" s="666"/>
      <c r="J168" s="666"/>
      <c r="K168" s="666"/>
      <c r="L168" s="666"/>
      <c r="M168" s="666"/>
      <c r="N168" s="666"/>
      <c r="O168" s="666"/>
      <c r="P168" s="666"/>
      <c r="Q168" s="666"/>
      <c r="R168" s="666"/>
    </row>
    <row r="169" spans="2:18" x14ac:dyDescent="0.2">
      <c r="B169" s="671"/>
      <c r="C169" s="671"/>
      <c r="D169" s="671"/>
      <c r="E169" s="671"/>
      <c r="F169" s="671"/>
      <c r="G169" s="671"/>
      <c r="H169" s="666"/>
      <c r="I169" s="666"/>
      <c r="J169" s="666"/>
      <c r="K169" s="666"/>
      <c r="L169" s="666"/>
      <c r="M169" s="666"/>
      <c r="N169" s="666"/>
      <c r="O169" s="666"/>
      <c r="P169" s="666"/>
      <c r="Q169" s="666"/>
      <c r="R169" s="666"/>
    </row>
    <row r="170" spans="2:18" x14ac:dyDescent="0.2">
      <c r="B170" s="726" t="s">
        <v>498</v>
      </c>
      <c r="C170" s="727">
        <f>SUM(C166:C168)</f>
        <v>0</v>
      </c>
      <c r="D170" s="671"/>
      <c r="E170" s="671"/>
      <c r="F170" s="671"/>
      <c r="G170" s="671"/>
      <c r="H170" s="666"/>
      <c r="I170" s="666"/>
      <c r="J170" s="666"/>
      <c r="K170" s="666"/>
      <c r="L170" s="666"/>
      <c r="M170" s="666"/>
      <c r="N170" s="666"/>
      <c r="O170" s="666"/>
      <c r="P170" s="666"/>
      <c r="Q170" s="666"/>
      <c r="R170" s="666"/>
    </row>
    <row r="171" spans="2:18" ht="15.75" thickBot="1" x14ac:dyDescent="0.3">
      <c r="B171" s="671"/>
      <c r="C171" s="671"/>
      <c r="D171" s="671"/>
      <c r="E171" s="671"/>
      <c r="F171" s="671"/>
      <c r="G171" s="671"/>
      <c r="H171"/>
      <c r="I171"/>
      <c r="J171" s="666"/>
      <c r="K171" s="666"/>
      <c r="L171" s="666"/>
      <c r="M171" s="666"/>
      <c r="N171" s="666"/>
      <c r="O171" s="666"/>
      <c r="P171" s="666"/>
      <c r="Q171" s="666"/>
      <c r="R171" s="666"/>
    </row>
    <row r="172" spans="2:18" ht="20.25" x14ac:dyDescent="0.25">
      <c r="B172" s="729" t="s">
        <v>115</v>
      </c>
      <c r="C172" s="729"/>
      <c r="D172" s="730"/>
      <c r="E172" s="730"/>
      <c r="F172" s="731"/>
      <c r="G172" s="731"/>
      <c r="H172"/>
      <c r="I172"/>
      <c r="J172"/>
      <c r="K172"/>
      <c r="L172"/>
      <c r="M172"/>
      <c r="N172"/>
      <c r="O172"/>
      <c r="P172"/>
      <c r="Q172"/>
      <c r="R172"/>
    </row>
    <row r="173" spans="2:18" ht="15" x14ac:dyDescent="0.25">
      <c r="B173" s="732"/>
      <c r="C173" s="732"/>
      <c r="D173"/>
      <c r="E173"/>
      <c r="F173" s="733"/>
      <c r="G173" s="733"/>
      <c r="H173"/>
      <c r="I173"/>
      <c r="J173"/>
      <c r="K173"/>
      <c r="L173"/>
      <c r="M173"/>
      <c r="N173"/>
      <c r="O173"/>
      <c r="P173"/>
      <c r="Q173"/>
      <c r="R173"/>
    </row>
    <row r="174" spans="2:18" ht="15" x14ac:dyDescent="0.25">
      <c r="B174" s="734" t="s">
        <v>116</v>
      </c>
      <c r="C174" s="734" t="s">
        <v>504</v>
      </c>
      <c r="D174"/>
      <c r="E174"/>
      <c r="F174"/>
      <c r="G174"/>
      <c r="H174" s="666"/>
      <c r="I174" s="666"/>
      <c r="J174" s="666"/>
      <c r="K174" s="666"/>
      <c r="L174"/>
      <c r="M174"/>
      <c r="N174"/>
      <c r="O174"/>
      <c r="P174"/>
      <c r="Q174"/>
      <c r="R174"/>
    </row>
    <row r="175" spans="2:18" x14ac:dyDescent="0.2">
      <c r="B175" s="735"/>
      <c r="C175" s="736" t="s">
        <v>505</v>
      </c>
      <c r="D175" s="673"/>
      <c r="E175" s="673"/>
      <c r="F175" s="673"/>
      <c r="G175" s="673"/>
      <c r="H175" s="673"/>
      <c r="I175" s="666"/>
      <c r="J175" s="666"/>
      <c r="K175" s="666"/>
      <c r="L175" s="666"/>
      <c r="M175" s="666"/>
      <c r="N175" s="666"/>
      <c r="O175" s="666"/>
      <c r="P175" s="666"/>
      <c r="Q175" s="666"/>
      <c r="R175" s="666"/>
    </row>
    <row r="176" spans="2:18" x14ac:dyDescent="0.2">
      <c r="B176" s="666"/>
      <c r="C176" s="666"/>
      <c r="D176" s="666"/>
      <c r="E176" s="666"/>
      <c r="F176" s="666"/>
      <c r="G176" s="666"/>
      <c r="H176" s="666"/>
      <c r="I176" s="666"/>
      <c r="J176" s="666"/>
      <c r="K176" s="666"/>
      <c r="L176" s="666"/>
      <c r="M176" s="666"/>
      <c r="N176" s="666"/>
      <c r="O176" s="666"/>
      <c r="P176" s="666"/>
      <c r="Q176" s="666"/>
      <c r="R176" s="666"/>
    </row>
  </sheetData>
  <mergeCells count="28">
    <mergeCell ref="D134:G134"/>
    <mergeCell ref="D135:G135"/>
    <mergeCell ref="D136:G136"/>
    <mergeCell ref="D137:G137"/>
    <mergeCell ref="C46:E46"/>
    <mergeCell ref="I46:M46"/>
    <mergeCell ref="D80:G80"/>
    <mergeCell ref="D81:G81"/>
    <mergeCell ref="D82:G82"/>
    <mergeCell ref="D83:G83"/>
    <mergeCell ref="B45:M45"/>
    <mergeCell ref="H7:I7"/>
    <mergeCell ref="L7:M7"/>
    <mergeCell ref="H8:I8"/>
    <mergeCell ref="H9:I9"/>
    <mergeCell ref="H10:I10"/>
    <mergeCell ref="H11:I11"/>
    <mergeCell ref="D12:E12"/>
    <mergeCell ref="B13:M13"/>
    <mergeCell ref="B23:M23"/>
    <mergeCell ref="C24:E24"/>
    <mergeCell ref="I24:M24"/>
    <mergeCell ref="D5:E5"/>
    <mergeCell ref="H5:I5"/>
    <mergeCell ref="L5:M5"/>
    <mergeCell ref="H6:I6"/>
    <mergeCell ref="J6:K6"/>
    <mergeCell ref="L6:M6"/>
  </mergeCells>
  <pageMargins left="0.2" right="0.2" top="0.33" bottom="0.32" header="0.2" footer="0.19"/>
  <pageSetup scale="50" orientation="landscape" r:id="rId1"/>
  <rowBreaks count="2" manualBreakCount="2">
    <brk id="67" max="16383" man="1"/>
    <brk id="1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2:P26"/>
  <sheetViews>
    <sheetView showGridLines="0" view="pageBreakPreview" zoomScale="60" zoomScaleNormal="80" zoomScalePageLayoutView="80" workbookViewId="0">
      <selection activeCell="Y62" sqref="Y62"/>
    </sheetView>
  </sheetViews>
  <sheetFormatPr defaultColWidth="7.85546875" defaultRowHeight="14.25" x14ac:dyDescent="0.2"/>
  <cols>
    <col min="1" max="1" width="5" style="3" customWidth="1"/>
    <col min="2" max="2" width="5.85546875" style="3" customWidth="1"/>
    <col min="3" max="3" width="7.85546875" style="3"/>
    <col min="4" max="4" width="25.85546875" style="3" customWidth="1"/>
    <col min="5" max="5" width="15" style="3" customWidth="1"/>
    <col min="6" max="6" width="10.5703125" style="3" customWidth="1"/>
    <col min="7" max="7" width="9.5703125" style="3" customWidth="1"/>
    <col min="8" max="8" width="9.7109375" style="3" customWidth="1"/>
    <col min="9" max="9" width="10" style="3" customWidth="1"/>
    <col min="10" max="10" width="9.140625" style="3" customWidth="1"/>
    <col min="11" max="11" width="13.5703125" style="3" customWidth="1"/>
    <col min="12" max="12" width="12.42578125" style="3" customWidth="1"/>
    <col min="13" max="13" width="27.7109375" style="3" customWidth="1"/>
    <col min="14" max="14" width="22.5703125" style="3" customWidth="1"/>
    <col min="15" max="15" width="15.28515625" style="3" customWidth="1"/>
    <col min="16" max="16" width="11.28515625" style="3" customWidth="1"/>
    <col min="17" max="17" width="4.7109375" style="3" customWidth="1"/>
    <col min="18" max="18" width="10" style="3" customWidth="1"/>
    <col min="19" max="16384" width="7.85546875" style="3"/>
  </cols>
  <sheetData>
    <row r="2" spans="2:16" ht="27.75" customHeight="1" x14ac:dyDescent="0.3">
      <c r="B2" s="66" t="s">
        <v>755</v>
      </c>
    </row>
    <row r="3" spans="2:16" ht="15" x14ac:dyDescent="0.2">
      <c r="B3" s="37" t="s">
        <v>759</v>
      </c>
    </row>
    <row r="4" spans="2:16" x14ac:dyDescent="0.2">
      <c r="B4" s="54"/>
      <c r="C4" s="54"/>
      <c r="D4" s="54"/>
      <c r="E4" s="54"/>
      <c r="F4" s="54"/>
      <c r="G4" s="54"/>
      <c r="H4" s="54"/>
      <c r="I4" s="54"/>
      <c r="J4" s="54"/>
      <c r="K4" s="54"/>
      <c r="L4" s="54"/>
      <c r="M4" s="54"/>
      <c r="N4" s="54"/>
      <c r="O4" s="54"/>
      <c r="P4" s="54"/>
    </row>
    <row r="5" spans="2:16" ht="22.5" customHeight="1" x14ac:dyDescent="0.25">
      <c r="B5" s="79"/>
      <c r="C5" s="54"/>
      <c r="D5" s="54"/>
      <c r="E5" s="54"/>
      <c r="F5" s="54"/>
      <c r="G5" s="54"/>
      <c r="H5" s="54"/>
      <c r="I5" s="54"/>
      <c r="J5" s="54"/>
      <c r="K5" s="54"/>
      <c r="L5" s="54"/>
      <c r="M5" s="54"/>
      <c r="N5" s="54"/>
      <c r="O5" s="54"/>
      <c r="P5" s="54"/>
    </row>
    <row r="6" spans="2:16" s="5" customFormat="1" ht="59.25" customHeight="1" x14ac:dyDescent="0.2">
      <c r="B6" s="93" t="s">
        <v>62</v>
      </c>
      <c r="C6" s="93" t="s">
        <v>84</v>
      </c>
      <c r="D6" s="93" t="s">
        <v>63</v>
      </c>
      <c r="E6" s="93" t="s">
        <v>64</v>
      </c>
      <c r="F6" s="93" t="s">
        <v>65</v>
      </c>
      <c r="G6" s="93" t="s">
        <v>66</v>
      </c>
      <c r="H6" s="93" t="s">
        <v>67</v>
      </c>
      <c r="I6" s="94" t="s">
        <v>68</v>
      </c>
      <c r="J6" s="93" t="s">
        <v>69</v>
      </c>
      <c r="K6" s="93" t="s">
        <v>70</v>
      </c>
      <c r="L6" s="93" t="s">
        <v>71</v>
      </c>
      <c r="M6" s="817" t="s">
        <v>757</v>
      </c>
      <c r="N6" s="817" t="s">
        <v>754</v>
      </c>
      <c r="O6" s="817" t="s">
        <v>756</v>
      </c>
    </row>
    <row r="7" spans="2:16" ht="34.5" customHeight="1" x14ac:dyDescent="0.25">
      <c r="B7" s="80">
        <v>1</v>
      </c>
      <c r="C7" s="80" t="s">
        <v>107</v>
      </c>
      <c r="D7" s="937" t="s">
        <v>950</v>
      </c>
      <c r="E7" s="20"/>
      <c r="F7" s="20"/>
      <c r="G7" s="913">
        <v>60199</v>
      </c>
      <c r="H7" s="913">
        <v>805001</v>
      </c>
      <c r="I7" s="82"/>
      <c r="J7" s="83">
        <v>3</v>
      </c>
      <c r="K7" s="84">
        <v>200</v>
      </c>
      <c r="L7" s="83">
        <f>J7*K7</f>
        <v>600</v>
      </c>
      <c r="M7" s="935" t="s">
        <v>959</v>
      </c>
      <c r="N7" s="83" t="s">
        <v>982</v>
      </c>
      <c r="O7" s="83" t="s">
        <v>348</v>
      </c>
    </row>
    <row r="8" spans="2:16" ht="17.25" customHeight="1" x14ac:dyDescent="0.2">
      <c r="B8" s="80">
        <f t="shared" ref="B8:B15" si="0">B7+1</f>
        <v>2</v>
      </c>
      <c r="C8" s="80"/>
      <c r="D8" s="81"/>
      <c r="E8" s="20"/>
      <c r="F8" s="20"/>
      <c r="G8" s="20"/>
      <c r="H8" s="20"/>
      <c r="I8" s="82"/>
      <c r="J8" s="83">
        <v>0</v>
      </c>
      <c r="K8" s="20"/>
      <c r="L8" s="83">
        <v>0</v>
      </c>
      <c r="M8" s="83"/>
      <c r="N8" s="83"/>
      <c r="O8" s="83"/>
    </row>
    <row r="9" spans="2:16" ht="17.25" customHeight="1" x14ac:dyDescent="0.2">
      <c r="B9" s="80">
        <f t="shared" si="0"/>
        <v>3</v>
      </c>
      <c r="C9" s="80"/>
      <c r="D9" s="81"/>
      <c r="E9" s="20"/>
      <c r="F9" s="20"/>
      <c r="G9" s="20"/>
      <c r="H9" s="20"/>
      <c r="I9" s="82"/>
      <c r="J9" s="83">
        <v>0</v>
      </c>
      <c r="K9" s="20"/>
      <c r="L9" s="83">
        <v>0</v>
      </c>
      <c r="M9" s="83"/>
      <c r="N9" s="83"/>
      <c r="O9" s="83"/>
    </row>
    <row r="10" spans="2:16" ht="17.25" customHeight="1" x14ac:dyDescent="0.2">
      <c r="B10" s="80">
        <f t="shared" si="0"/>
        <v>4</v>
      </c>
      <c r="C10" s="80"/>
      <c r="D10" s="81"/>
      <c r="E10" s="20"/>
      <c r="F10" s="20"/>
      <c r="G10" s="20"/>
      <c r="H10" s="20"/>
      <c r="I10" s="82"/>
      <c r="J10" s="83">
        <v>0</v>
      </c>
      <c r="K10" s="20"/>
      <c r="L10" s="83">
        <v>0</v>
      </c>
      <c r="M10" s="83"/>
      <c r="N10" s="83"/>
      <c r="O10" s="83"/>
    </row>
    <row r="11" spans="2:16" ht="17.25" customHeight="1" x14ac:dyDescent="0.2">
      <c r="B11" s="80">
        <f t="shared" si="0"/>
        <v>5</v>
      </c>
      <c r="C11" s="80"/>
      <c r="D11" s="81"/>
      <c r="E11" s="20"/>
      <c r="F11" s="20"/>
      <c r="G11" s="20"/>
      <c r="H11" s="20"/>
      <c r="I11" s="82"/>
      <c r="J11" s="83">
        <v>0</v>
      </c>
      <c r="K11" s="20"/>
      <c r="L11" s="83">
        <v>0</v>
      </c>
      <c r="M11" s="83"/>
      <c r="N11" s="83"/>
      <c r="O11" s="83"/>
    </row>
    <row r="12" spans="2:16" ht="17.25" customHeight="1" x14ac:dyDescent="0.2">
      <c r="B12" s="80">
        <f t="shared" si="0"/>
        <v>6</v>
      </c>
      <c r="C12" s="80"/>
      <c r="D12" s="81"/>
      <c r="E12" s="20"/>
      <c r="F12" s="20"/>
      <c r="G12" s="20"/>
      <c r="H12" s="20"/>
      <c r="I12" s="82"/>
      <c r="J12" s="83">
        <v>0</v>
      </c>
      <c r="K12" s="20"/>
      <c r="L12" s="83">
        <v>0</v>
      </c>
      <c r="M12" s="83"/>
      <c r="N12" s="83"/>
      <c r="O12" s="83"/>
    </row>
    <row r="13" spans="2:16" ht="17.25" customHeight="1" x14ac:dyDescent="0.2">
      <c r="B13" s="80">
        <f t="shared" si="0"/>
        <v>7</v>
      </c>
      <c r="C13" s="80"/>
      <c r="D13" s="81"/>
      <c r="E13" s="20"/>
      <c r="F13" s="20"/>
      <c r="G13" s="20"/>
      <c r="H13" s="20"/>
      <c r="I13" s="82"/>
      <c r="J13" s="83">
        <v>0</v>
      </c>
      <c r="K13" s="20"/>
      <c r="L13" s="83">
        <v>0</v>
      </c>
      <c r="M13" s="83"/>
      <c r="N13" s="83"/>
      <c r="O13" s="83"/>
    </row>
    <row r="14" spans="2:16" ht="17.25" customHeight="1" x14ac:dyDescent="0.2">
      <c r="B14" s="80">
        <f t="shared" si="0"/>
        <v>8</v>
      </c>
      <c r="C14" s="80"/>
      <c r="D14" s="81"/>
      <c r="E14" s="20"/>
      <c r="F14" s="20"/>
      <c r="G14" s="20"/>
      <c r="H14" s="20"/>
      <c r="I14" s="82"/>
      <c r="J14" s="83">
        <v>0</v>
      </c>
      <c r="K14" s="20"/>
      <c r="L14" s="83">
        <v>0</v>
      </c>
      <c r="M14" s="83"/>
      <c r="N14" s="83"/>
      <c r="O14" s="83"/>
    </row>
    <row r="15" spans="2:16" ht="17.25" customHeight="1" x14ac:dyDescent="0.2">
      <c r="B15" s="80">
        <f t="shared" si="0"/>
        <v>9</v>
      </c>
      <c r="C15" s="80"/>
      <c r="D15" s="81"/>
      <c r="E15" s="20"/>
      <c r="F15" s="20"/>
      <c r="G15" s="20"/>
      <c r="H15" s="20"/>
      <c r="I15" s="82"/>
      <c r="J15" s="83">
        <v>0</v>
      </c>
      <c r="K15" s="20"/>
      <c r="L15" s="83">
        <v>0</v>
      </c>
      <c r="M15" s="83"/>
      <c r="N15" s="83"/>
      <c r="O15" s="83"/>
    </row>
    <row r="16" spans="2:16" ht="17.25" customHeight="1" x14ac:dyDescent="0.2">
      <c r="B16" s="80">
        <f>B15+1</f>
        <v>10</v>
      </c>
      <c r="C16" s="80"/>
      <c r="D16" s="81"/>
      <c r="E16" s="20"/>
      <c r="F16" s="20"/>
      <c r="G16" s="20"/>
      <c r="H16" s="20"/>
      <c r="I16" s="82"/>
      <c r="J16" s="83">
        <v>0</v>
      </c>
      <c r="K16" s="20"/>
      <c r="L16" s="83">
        <v>0</v>
      </c>
      <c r="M16" s="83"/>
      <c r="N16" s="83"/>
      <c r="O16" s="83"/>
    </row>
    <row r="17" spans="2:15" ht="17.25" customHeight="1" x14ac:dyDescent="0.2">
      <c r="B17" s="95"/>
      <c r="C17" s="95"/>
      <c r="D17" s="96"/>
      <c r="E17" s="97"/>
      <c r="F17" s="97"/>
      <c r="G17" s="97"/>
      <c r="H17" s="97"/>
      <c r="I17" s="96"/>
      <c r="J17" s="98"/>
      <c r="K17" s="97"/>
      <c r="L17" s="98"/>
      <c r="M17" s="98"/>
      <c r="N17" s="98"/>
      <c r="O17" s="98"/>
    </row>
    <row r="20" spans="2:15" ht="15" x14ac:dyDescent="0.25">
      <c r="C20" s="88" t="s">
        <v>86</v>
      </c>
      <c r="D20" s="3" t="s">
        <v>87</v>
      </c>
    </row>
    <row r="21" spans="2:15" x14ac:dyDescent="0.2">
      <c r="D21" s="3" t="s">
        <v>88</v>
      </c>
    </row>
    <row r="22" spans="2:15" x14ac:dyDescent="0.2">
      <c r="D22" s="3" t="s">
        <v>89</v>
      </c>
    </row>
    <row r="23" spans="2:15" x14ac:dyDescent="0.2">
      <c r="D23" s="3" t="s">
        <v>90</v>
      </c>
    </row>
    <row r="24" spans="2:15" ht="15" x14ac:dyDescent="0.25">
      <c r="B24" s="88"/>
    </row>
    <row r="25" spans="2:15" ht="15" x14ac:dyDescent="0.25">
      <c r="B25" s="47"/>
    </row>
    <row r="26" spans="2:15" ht="15" x14ac:dyDescent="0.25">
      <c r="B26" s="47"/>
    </row>
  </sheetData>
  <dataValidations count="1">
    <dataValidation type="list" allowBlank="1" showInputMessage="1" showErrorMessage="1" prompt="Yes for Auto CPI Increase as per Code" sqref="F7:F17">
      <formula1>Auto_CPI_Adjust_Yes_No</formula1>
    </dataValidation>
  </dataValidations>
  <printOptions horizontalCentered="1"/>
  <pageMargins left="0.25" right="0.25" top="0.4" bottom="0.5" header="0.3" footer="0.3"/>
  <pageSetup scale="68" orientation="landscape" r:id="rId1"/>
  <headerFooter alignWithMargins="0"/>
  <colBreaks count="1" manualBreakCount="1">
    <brk id="16" min="1"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R84"/>
  <sheetViews>
    <sheetView view="pageBreakPreview" zoomScaleNormal="85" zoomScaleSheetLayoutView="100" workbookViewId="0">
      <selection activeCell="H18" sqref="H18"/>
    </sheetView>
  </sheetViews>
  <sheetFormatPr defaultColWidth="9.140625" defaultRowHeight="14.25" x14ac:dyDescent="0.2"/>
  <cols>
    <col min="1" max="1" width="5" style="174" customWidth="1"/>
    <col min="2" max="2" width="6" style="174" customWidth="1"/>
    <col min="3" max="3" width="8.5703125" style="174" customWidth="1"/>
    <col min="4" max="4" width="9.28515625" style="173" customWidth="1"/>
    <col min="5" max="5" width="23.7109375" style="173" customWidth="1"/>
    <col min="6" max="6" width="6.28515625" style="173" bestFit="1" customWidth="1"/>
    <col min="7" max="7" width="8.5703125" style="174" customWidth="1"/>
    <col min="8" max="8" width="41.42578125" style="1058" customWidth="1"/>
    <col min="9" max="9" width="14" style="174" customWidth="1"/>
    <col min="10" max="10" width="14.140625" style="174" customWidth="1"/>
    <col min="11" max="11" width="15.28515625" style="174" customWidth="1"/>
    <col min="12" max="12" width="14.5703125" style="174" customWidth="1"/>
    <col min="13" max="13" width="14.140625" style="174" customWidth="1"/>
    <col min="14" max="14" width="14.5703125" style="174" customWidth="1"/>
    <col min="15" max="15" width="13.5703125" style="174" customWidth="1"/>
    <col min="16" max="16" width="106.85546875" style="174" customWidth="1"/>
    <col min="17" max="17" width="3.42578125" style="174" customWidth="1"/>
    <col min="18" max="18" width="9.85546875" style="174" bestFit="1" customWidth="1"/>
    <col min="19" max="16384" width="9.140625" style="174"/>
  </cols>
  <sheetData>
    <row r="1" spans="2:18" ht="21" customHeight="1" x14ac:dyDescent="0.2"/>
    <row r="2" spans="2:18" ht="18" x14ac:dyDescent="0.25">
      <c r="B2" s="171" t="s">
        <v>126</v>
      </c>
      <c r="C2" s="172"/>
      <c r="F2" s="171" t="s">
        <v>126</v>
      </c>
    </row>
    <row r="3" spans="2:18" ht="15" x14ac:dyDescent="0.2">
      <c r="B3" s="37" t="s">
        <v>759</v>
      </c>
      <c r="F3" s="947"/>
    </row>
    <row r="4" spans="2:18" x14ac:dyDescent="0.2">
      <c r="F4" s="174"/>
      <c r="J4" s="1041"/>
    </row>
    <row r="5" spans="2:18" x14ac:dyDescent="0.2">
      <c r="B5" s="1070" t="s">
        <v>127</v>
      </c>
      <c r="C5" s="1070"/>
      <c r="D5" s="1058"/>
    </row>
    <row r="6" spans="2:18" ht="15" x14ac:dyDescent="0.25">
      <c r="B6" s="1071" t="s">
        <v>128</v>
      </c>
      <c r="C6" s="1070"/>
      <c r="D6" s="1058"/>
    </row>
    <row r="7" spans="2:18" x14ac:dyDescent="0.2">
      <c r="B7" s="1072" t="s">
        <v>38</v>
      </c>
      <c r="C7" s="1070"/>
      <c r="D7" s="1058"/>
    </row>
    <row r="8" spans="2:18" x14ac:dyDescent="0.2">
      <c r="B8" s="1072" t="s">
        <v>39</v>
      </c>
      <c r="C8" s="1070"/>
      <c r="D8" s="1058"/>
      <c r="E8" s="174"/>
      <c r="J8" s="177"/>
    </row>
    <row r="9" spans="2:18" ht="15" thickBot="1" x14ac:dyDescent="0.25">
      <c r="B9" s="176"/>
      <c r="C9" s="177"/>
      <c r="D9" s="177"/>
      <c r="E9" s="174"/>
      <c r="F9" s="174"/>
      <c r="J9" s="177"/>
    </row>
    <row r="10" spans="2:18" ht="15" x14ac:dyDescent="0.25">
      <c r="B10" s="178" t="s">
        <v>129</v>
      </c>
      <c r="C10" s="179"/>
      <c r="D10" s="179"/>
      <c r="E10" s="179"/>
      <c r="F10" s="179"/>
      <c r="G10" s="179"/>
      <c r="H10" s="1059"/>
      <c r="I10" s="179"/>
      <c r="J10" s="179"/>
      <c r="K10" s="180" t="s">
        <v>41</v>
      </c>
      <c r="L10" s="179"/>
      <c r="M10" s="179"/>
      <c r="N10" s="180" t="s">
        <v>41</v>
      </c>
      <c r="O10" s="179"/>
      <c r="P10" s="181" t="s">
        <v>41</v>
      </c>
    </row>
    <row r="11" spans="2:18" s="186" customFormat="1" ht="51" customHeight="1" x14ac:dyDescent="0.2">
      <c r="B11" s="841" t="s">
        <v>42</v>
      </c>
      <c r="C11" s="842" t="s">
        <v>43</v>
      </c>
      <c r="D11" s="842" t="s">
        <v>44</v>
      </c>
      <c r="E11" s="843" t="s">
        <v>5</v>
      </c>
      <c r="F11" s="843" t="s">
        <v>45</v>
      </c>
      <c r="G11" s="843" t="s">
        <v>130</v>
      </c>
      <c r="H11" s="842" t="s">
        <v>131</v>
      </c>
      <c r="I11" s="842" t="s">
        <v>1058</v>
      </c>
      <c r="J11" s="842" t="s">
        <v>132</v>
      </c>
      <c r="K11" s="842" t="s">
        <v>52</v>
      </c>
      <c r="L11" s="842" t="s">
        <v>133</v>
      </c>
      <c r="M11" s="842" t="s">
        <v>134</v>
      </c>
      <c r="N11" s="842" t="s">
        <v>54</v>
      </c>
      <c r="O11" s="842" t="s">
        <v>135</v>
      </c>
      <c r="P11" s="844" t="s">
        <v>136</v>
      </c>
    </row>
    <row r="12" spans="2:18" ht="55.5" customHeight="1" x14ac:dyDescent="0.2">
      <c r="B12" s="845" t="s">
        <v>42</v>
      </c>
      <c r="C12" s="845" t="s">
        <v>789</v>
      </c>
      <c r="D12" s="845" t="s">
        <v>790</v>
      </c>
      <c r="E12" s="845" t="s">
        <v>791</v>
      </c>
      <c r="F12" s="845" t="s">
        <v>792</v>
      </c>
      <c r="G12" s="845" t="s">
        <v>792</v>
      </c>
      <c r="H12" s="1060" t="s">
        <v>793</v>
      </c>
      <c r="I12" s="845">
        <v>2554057</v>
      </c>
      <c r="J12" s="845">
        <v>2841873</v>
      </c>
      <c r="K12" s="187">
        <v>3015530</v>
      </c>
      <c r="L12" s="845">
        <f>K12-J12</f>
        <v>173657</v>
      </c>
      <c r="M12" s="845">
        <f>K12</f>
        <v>3015530</v>
      </c>
      <c r="N12" s="845">
        <v>3027081</v>
      </c>
      <c r="O12" s="845">
        <f>N12-M12</f>
        <v>11551</v>
      </c>
      <c r="P12" s="946" t="s">
        <v>1053</v>
      </c>
      <c r="R12" s="989"/>
    </row>
    <row r="13" spans="2:18" ht="48" customHeight="1" x14ac:dyDescent="0.2">
      <c r="B13" s="845" t="s">
        <v>42</v>
      </c>
      <c r="C13" s="845" t="s">
        <v>789</v>
      </c>
      <c r="D13" s="845" t="s">
        <v>790</v>
      </c>
      <c r="E13" s="845" t="s">
        <v>791</v>
      </c>
      <c r="F13" s="845" t="s">
        <v>792</v>
      </c>
      <c r="G13" s="845" t="s">
        <v>794</v>
      </c>
      <c r="H13" s="1060" t="s">
        <v>795</v>
      </c>
      <c r="I13" s="845">
        <v>1587248</v>
      </c>
      <c r="J13" s="845">
        <v>778539</v>
      </c>
      <c r="K13" s="187">
        <v>958568</v>
      </c>
      <c r="L13" s="845">
        <f t="shared" ref="L13:L42" si="0">K13-J13</f>
        <v>180029</v>
      </c>
      <c r="M13" s="845">
        <f t="shared" ref="M13:M42" si="1">K13</f>
        <v>958568</v>
      </c>
      <c r="N13" s="845">
        <v>1766472</v>
      </c>
      <c r="O13" s="845">
        <f t="shared" ref="O13:O42" si="2">N13-M13</f>
        <v>807904</v>
      </c>
      <c r="P13" s="946" t="s">
        <v>1048</v>
      </c>
      <c r="R13" s="989"/>
    </row>
    <row r="14" spans="2:18" ht="48" customHeight="1" x14ac:dyDescent="0.2">
      <c r="B14" s="845" t="s">
        <v>42</v>
      </c>
      <c r="C14" s="845" t="s">
        <v>789</v>
      </c>
      <c r="D14" s="845" t="s">
        <v>790</v>
      </c>
      <c r="E14" s="845" t="s">
        <v>791</v>
      </c>
      <c r="F14" s="845" t="s">
        <v>792</v>
      </c>
      <c r="G14" s="845" t="s">
        <v>796</v>
      </c>
      <c r="H14" s="1060" t="s">
        <v>797</v>
      </c>
      <c r="I14" s="845">
        <v>23000</v>
      </c>
      <c r="J14" s="845">
        <v>15502</v>
      </c>
      <c r="K14" s="187">
        <v>18671</v>
      </c>
      <c r="L14" s="845">
        <f t="shared" si="0"/>
        <v>3169</v>
      </c>
      <c r="M14" s="845">
        <f t="shared" si="1"/>
        <v>18671</v>
      </c>
      <c r="N14" s="845">
        <v>28750</v>
      </c>
      <c r="O14" s="845">
        <f t="shared" si="2"/>
        <v>10079</v>
      </c>
      <c r="P14" s="946" t="s">
        <v>1049</v>
      </c>
      <c r="R14" s="989"/>
    </row>
    <row r="15" spans="2:18" ht="28.5" customHeight="1" x14ac:dyDescent="0.2">
      <c r="B15" s="845" t="s">
        <v>42</v>
      </c>
      <c r="C15" s="845" t="s">
        <v>789</v>
      </c>
      <c r="D15" s="845" t="s">
        <v>790</v>
      </c>
      <c r="E15" s="845" t="s">
        <v>791</v>
      </c>
      <c r="F15" s="845" t="s">
        <v>792</v>
      </c>
      <c r="G15" s="845" t="s">
        <v>798</v>
      </c>
      <c r="H15" s="1060" t="s">
        <v>799</v>
      </c>
      <c r="I15" s="845">
        <v>574387</v>
      </c>
      <c r="J15" s="845">
        <v>363709</v>
      </c>
      <c r="K15" s="187">
        <v>445862</v>
      </c>
      <c r="L15" s="845">
        <f t="shared" si="0"/>
        <v>82153</v>
      </c>
      <c r="M15" s="845">
        <f t="shared" si="1"/>
        <v>445862</v>
      </c>
      <c r="N15" s="845">
        <v>689264</v>
      </c>
      <c r="O15" s="845">
        <f t="shared" si="2"/>
        <v>243402</v>
      </c>
      <c r="P15" s="946" t="s">
        <v>1047</v>
      </c>
      <c r="R15" s="989"/>
    </row>
    <row r="16" spans="2:18" x14ac:dyDescent="0.2">
      <c r="B16" s="845" t="s">
        <v>42</v>
      </c>
      <c r="C16" s="845" t="s">
        <v>789</v>
      </c>
      <c r="D16" s="845" t="s">
        <v>790</v>
      </c>
      <c r="E16" s="845" t="s">
        <v>791</v>
      </c>
      <c r="F16" s="845" t="s">
        <v>792</v>
      </c>
      <c r="G16" s="845" t="s">
        <v>800</v>
      </c>
      <c r="H16" s="1060" t="s">
        <v>801</v>
      </c>
      <c r="I16" s="845">
        <v>22000</v>
      </c>
      <c r="J16" s="845">
        <v>22000</v>
      </c>
      <c r="K16" s="187">
        <v>22000</v>
      </c>
      <c r="L16" s="845">
        <f t="shared" si="0"/>
        <v>0</v>
      </c>
      <c r="M16" s="845">
        <f t="shared" si="1"/>
        <v>22000</v>
      </c>
      <c r="N16" s="845">
        <v>22000</v>
      </c>
      <c r="O16" s="845">
        <f t="shared" si="2"/>
        <v>0</v>
      </c>
      <c r="P16" s="946"/>
      <c r="R16" s="989"/>
    </row>
    <row r="17" spans="2:16" x14ac:dyDescent="0.2">
      <c r="B17" s="845" t="s">
        <v>42</v>
      </c>
      <c r="C17" s="845" t="s">
        <v>789</v>
      </c>
      <c r="D17" s="845" t="s">
        <v>790</v>
      </c>
      <c r="E17" s="845" t="s">
        <v>791</v>
      </c>
      <c r="F17" s="845" t="s">
        <v>802</v>
      </c>
      <c r="G17" s="845" t="s">
        <v>802</v>
      </c>
      <c r="H17" s="1060" t="s">
        <v>803</v>
      </c>
      <c r="I17" s="845">
        <v>542453</v>
      </c>
      <c r="J17" s="845">
        <v>678431</v>
      </c>
      <c r="K17" s="187">
        <v>720099</v>
      </c>
      <c r="L17" s="845">
        <f t="shared" si="0"/>
        <v>41668</v>
      </c>
      <c r="M17" s="845">
        <f t="shared" si="1"/>
        <v>720099</v>
      </c>
      <c r="N17" s="845">
        <v>678966</v>
      </c>
      <c r="O17" s="845">
        <f t="shared" si="2"/>
        <v>-41133</v>
      </c>
      <c r="P17" s="187"/>
    </row>
    <row r="18" spans="2:16" x14ac:dyDescent="0.2">
      <c r="B18" s="845" t="s">
        <v>42</v>
      </c>
      <c r="C18" s="845" t="s">
        <v>789</v>
      </c>
      <c r="D18" s="845" t="s">
        <v>790</v>
      </c>
      <c r="E18" s="845" t="s">
        <v>791</v>
      </c>
      <c r="F18" s="845" t="s">
        <v>802</v>
      </c>
      <c r="G18" s="845" t="s">
        <v>804</v>
      </c>
      <c r="H18" s="1060" t="s">
        <v>805</v>
      </c>
      <c r="I18" s="845">
        <v>359988</v>
      </c>
      <c r="J18" s="845">
        <v>303384</v>
      </c>
      <c r="K18" s="187">
        <v>336553</v>
      </c>
      <c r="L18" s="845">
        <f t="shared" si="0"/>
        <v>33169</v>
      </c>
      <c r="M18" s="845">
        <f t="shared" si="1"/>
        <v>336553</v>
      </c>
      <c r="N18" s="845">
        <v>418561</v>
      </c>
      <c r="O18" s="845">
        <f t="shared" si="2"/>
        <v>82008</v>
      </c>
      <c r="P18" s="187"/>
    </row>
    <row r="19" spans="2:16" x14ac:dyDescent="0.2">
      <c r="B19" s="845" t="s">
        <v>42</v>
      </c>
      <c r="C19" s="845" t="s">
        <v>789</v>
      </c>
      <c r="D19" s="845" t="s">
        <v>790</v>
      </c>
      <c r="E19" s="845" t="s">
        <v>791</v>
      </c>
      <c r="F19" s="845" t="s">
        <v>802</v>
      </c>
      <c r="G19" s="845" t="s">
        <v>806</v>
      </c>
      <c r="H19" s="1060" t="s">
        <v>807</v>
      </c>
      <c r="I19" s="845">
        <v>613414</v>
      </c>
      <c r="J19" s="845">
        <v>661323</v>
      </c>
      <c r="K19" s="187">
        <v>703150</v>
      </c>
      <c r="L19" s="845">
        <f t="shared" si="0"/>
        <v>41827</v>
      </c>
      <c r="M19" s="845">
        <f t="shared" si="1"/>
        <v>703150</v>
      </c>
      <c r="N19" s="845">
        <v>724857</v>
      </c>
      <c r="O19" s="845">
        <f t="shared" si="2"/>
        <v>21707</v>
      </c>
      <c r="P19" s="187"/>
    </row>
    <row r="20" spans="2:16" x14ac:dyDescent="0.2">
      <c r="B20" s="845" t="s">
        <v>42</v>
      </c>
      <c r="C20" s="845" t="s">
        <v>789</v>
      </c>
      <c r="D20" s="845" t="s">
        <v>790</v>
      </c>
      <c r="E20" s="845" t="s">
        <v>791</v>
      </c>
      <c r="F20" s="845" t="s">
        <v>802</v>
      </c>
      <c r="G20" s="845" t="s">
        <v>808</v>
      </c>
      <c r="H20" s="1060" t="s">
        <v>809</v>
      </c>
      <c r="I20" s="845">
        <v>45214</v>
      </c>
      <c r="J20" s="845">
        <v>51513</v>
      </c>
      <c r="K20" s="187">
        <v>54458</v>
      </c>
      <c r="L20" s="845">
        <f t="shared" si="0"/>
        <v>2945</v>
      </c>
      <c r="M20" s="845">
        <f t="shared" si="1"/>
        <v>54458</v>
      </c>
      <c r="N20" s="845">
        <v>54458</v>
      </c>
      <c r="O20" s="845">
        <f t="shared" si="2"/>
        <v>0</v>
      </c>
      <c r="P20" s="187"/>
    </row>
    <row r="21" spans="2:16" x14ac:dyDescent="0.2">
      <c r="B21" s="845" t="s">
        <v>42</v>
      </c>
      <c r="C21" s="845" t="s">
        <v>789</v>
      </c>
      <c r="D21" s="845" t="s">
        <v>790</v>
      </c>
      <c r="E21" s="845" t="s">
        <v>791</v>
      </c>
      <c r="F21" s="845" t="s">
        <v>802</v>
      </c>
      <c r="G21" s="845" t="s">
        <v>810</v>
      </c>
      <c r="H21" s="1060" t="s">
        <v>811</v>
      </c>
      <c r="I21" s="845">
        <v>11903</v>
      </c>
      <c r="J21" s="845">
        <v>10053</v>
      </c>
      <c r="K21" s="187">
        <v>11151</v>
      </c>
      <c r="L21" s="845">
        <f t="shared" si="0"/>
        <v>1098</v>
      </c>
      <c r="M21" s="845">
        <f t="shared" si="1"/>
        <v>11151</v>
      </c>
      <c r="N21" s="845">
        <v>14939</v>
      </c>
      <c r="O21" s="845">
        <f t="shared" si="2"/>
        <v>3788</v>
      </c>
    </row>
    <row r="22" spans="2:16" x14ac:dyDescent="0.2">
      <c r="B22" s="845" t="s">
        <v>42</v>
      </c>
      <c r="C22" s="845" t="s">
        <v>789</v>
      </c>
      <c r="D22" s="845" t="s">
        <v>790</v>
      </c>
      <c r="E22" s="845" t="s">
        <v>791</v>
      </c>
      <c r="F22" s="845" t="s">
        <v>802</v>
      </c>
      <c r="G22" s="845" t="s">
        <v>812</v>
      </c>
      <c r="H22" s="1060" t="s">
        <v>813</v>
      </c>
      <c r="I22" s="845">
        <v>19927</v>
      </c>
      <c r="J22" s="845">
        <v>21623</v>
      </c>
      <c r="K22" s="187">
        <v>23294</v>
      </c>
      <c r="L22" s="845">
        <f t="shared" si="0"/>
        <v>1671</v>
      </c>
      <c r="M22" s="845">
        <f t="shared" si="1"/>
        <v>23294</v>
      </c>
      <c r="N22" s="845">
        <v>24032</v>
      </c>
      <c r="O22" s="845">
        <f t="shared" si="2"/>
        <v>738</v>
      </c>
      <c r="P22" s="187"/>
    </row>
    <row r="23" spans="2:16" ht="29.1" customHeight="1" x14ac:dyDescent="0.2">
      <c r="B23" s="845" t="s">
        <v>42</v>
      </c>
      <c r="C23" s="845" t="s">
        <v>789</v>
      </c>
      <c r="D23" s="845" t="s">
        <v>790</v>
      </c>
      <c r="E23" s="845" t="s">
        <v>791</v>
      </c>
      <c r="F23" s="845" t="s">
        <v>814</v>
      </c>
      <c r="G23" s="845" t="s">
        <v>814</v>
      </c>
      <c r="H23" s="1060" t="s">
        <v>815</v>
      </c>
      <c r="I23" s="845">
        <v>3500</v>
      </c>
      <c r="J23" s="845">
        <v>3500</v>
      </c>
      <c r="K23" s="187">
        <v>6758</v>
      </c>
      <c r="L23" s="845">
        <f t="shared" si="0"/>
        <v>3258</v>
      </c>
      <c r="M23" s="845">
        <f t="shared" si="1"/>
        <v>6758</v>
      </c>
      <c r="N23" s="845">
        <v>6758</v>
      </c>
      <c r="O23" s="845">
        <f t="shared" si="2"/>
        <v>0</v>
      </c>
      <c r="P23" s="946" t="s">
        <v>1059</v>
      </c>
    </row>
    <row r="24" spans="2:16" ht="29.1" customHeight="1" x14ac:dyDescent="0.2">
      <c r="B24" s="845" t="s">
        <v>42</v>
      </c>
      <c r="C24" s="845" t="s">
        <v>789</v>
      </c>
      <c r="D24" s="845" t="s">
        <v>790</v>
      </c>
      <c r="E24" s="845" t="s">
        <v>791</v>
      </c>
      <c r="F24" s="845" t="s">
        <v>814</v>
      </c>
      <c r="G24" s="845" t="s">
        <v>816</v>
      </c>
      <c r="H24" s="1060" t="s">
        <v>817</v>
      </c>
      <c r="I24" s="845">
        <v>8100</v>
      </c>
      <c r="J24" s="845">
        <v>8100</v>
      </c>
      <c r="K24" s="187">
        <v>9810</v>
      </c>
      <c r="L24" s="845">
        <f t="shared" si="0"/>
        <v>1710</v>
      </c>
      <c r="M24" s="845">
        <f t="shared" si="1"/>
        <v>9810</v>
      </c>
      <c r="N24" s="845">
        <v>9810</v>
      </c>
      <c r="O24" s="845">
        <f t="shared" si="2"/>
        <v>0</v>
      </c>
      <c r="P24" s="946" t="s">
        <v>1060</v>
      </c>
    </row>
    <row r="25" spans="2:16" ht="29.1" customHeight="1" x14ac:dyDescent="0.2">
      <c r="B25" s="845" t="s">
        <v>42</v>
      </c>
      <c r="C25" s="845" t="s">
        <v>789</v>
      </c>
      <c r="D25" s="845" t="s">
        <v>790</v>
      </c>
      <c r="E25" s="845" t="s">
        <v>791</v>
      </c>
      <c r="F25" s="845" t="s">
        <v>814</v>
      </c>
      <c r="G25" s="845" t="s">
        <v>818</v>
      </c>
      <c r="H25" s="1060" t="s">
        <v>819</v>
      </c>
      <c r="I25" s="845">
        <v>1000</v>
      </c>
      <c r="J25" s="845">
        <v>500</v>
      </c>
      <c r="K25" s="187">
        <v>1090</v>
      </c>
      <c r="L25" s="845">
        <f t="shared" si="0"/>
        <v>590</v>
      </c>
      <c r="M25" s="845">
        <f t="shared" si="1"/>
        <v>1090</v>
      </c>
      <c r="N25" s="845">
        <v>1090</v>
      </c>
      <c r="O25" s="845">
        <f t="shared" si="2"/>
        <v>0</v>
      </c>
      <c r="P25" s="946" t="s">
        <v>1061</v>
      </c>
    </row>
    <row r="26" spans="2:16" ht="29.1" customHeight="1" x14ac:dyDescent="0.2">
      <c r="B26" s="845" t="s">
        <v>42</v>
      </c>
      <c r="C26" s="845" t="s">
        <v>789</v>
      </c>
      <c r="D26" s="845" t="s">
        <v>790</v>
      </c>
      <c r="E26" s="845" t="s">
        <v>791</v>
      </c>
      <c r="F26" s="845" t="s">
        <v>814</v>
      </c>
      <c r="G26" s="845" t="s">
        <v>820</v>
      </c>
      <c r="H26" s="1060" t="s">
        <v>821</v>
      </c>
      <c r="I26" s="845">
        <v>1075</v>
      </c>
      <c r="J26" s="845">
        <v>1025</v>
      </c>
      <c r="K26" s="187">
        <v>1171.75</v>
      </c>
      <c r="L26" s="845">
        <f t="shared" si="0"/>
        <v>146.75</v>
      </c>
      <c r="M26" s="845">
        <f t="shared" si="1"/>
        <v>1171.75</v>
      </c>
      <c r="N26" s="845">
        <v>1171.75</v>
      </c>
      <c r="O26" s="845">
        <f t="shared" si="2"/>
        <v>0</v>
      </c>
      <c r="P26" s="946" t="s">
        <v>1062</v>
      </c>
    </row>
    <row r="27" spans="2:16" ht="29.1" customHeight="1" x14ac:dyDescent="0.2">
      <c r="B27" s="845" t="s">
        <v>42</v>
      </c>
      <c r="C27" s="845" t="s">
        <v>789</v>
      </c>
      <c r="D27" s="845" t="s">
        <v>790</v>
      </c>
      <c r="E27" s="845" t="s">
        <v>791</v>
      </c>
      <c r="F27" s="845" t="s">
        <v>814</v>
      </c>
      <c r="G27" s="845" t="s">
        <v>822</v>
      </c>
      <c r="H27" s="1060" t="s">
        <v>823</v>
      </c>
      <c r="I27" s="845">
        <v>1800</v>
      </c>
      <c r="J27" s="845">
        <v>2100</v>
      </c>
      <c r="K27" s="187">
        <v>3208.96</v>
      </c>
      <c r="L27" s="845">
        <f t="shared" si="0"/>
        <v>1108.96</v>
      </c>
      <c r="M27" s="845">
        <f t="shared" si="1"/>
        <v>3208.96</v>
      </c>
      <c r="N27" s="845">
        <v>4346.92</v>
      </c>
      <c r="O27" s="845">
        <f t="shared" si="2"/>
        <v>1137.96</v>
      </c>
      <c r="P27" s="946" t="s">
        <v>1063</v>
      </c>
    </row>
    <row r="28" spans="2:16" ht="44.25" customHeight="1" x14ac:dyDescent="0.2">
      <c r="B28" s="845" t="s">
        <v>42</v>
      </c>
      <c r="C28" s="845" t="s">
        <v>789</v>
      </c>
      <c r="D28" s="845" t="s">
        <v>790</v>
      </c>
      <c r="E28" s="845" t="s">
        <v>791</v>
      </c>
      <c r="F28" s="845" t="s">
        <v>814</v>
      </c>
      <c r="G28" s="845" t="s">
        <v>824</v>
      </c>
      <c r="H28" s="1060" t="s">
        <v>825</v>
      </c>
      <c r="I28" s="845">
        <v>2893882</v>
      </c>
      <c r="J28" s="845">
        <v>1923385</v>
      </c>
      <c r="K28" s="187">
        <v>2398748.46</v>
      </c>
      <c r="L28" s="845">
        <f t="shared" si="0"/>
        <v>475363.45999999996</v>
      </c>
      <c r="M28" s="845">
        <f t="shared" si="1"/>
        <v>2398748.46</v>
      </c>
      <c r="N28" s="845">
        <v>3667332.18</v>
      </c>
      <c r="O28" s="845">
        <f t="shared" si="2"/>
        <v>1268583.7200000002</v>
      </c>
      <c r="P28" s="1042" t="s">
        <v>1064</v>
      </c>
    </row>
    <row r="29" spans="2:16" ht="29.1" customHeight="1" x14ac:dyDescent="0.2">
      <c r="B29" s="845" t="s">
        <v>42</v>
      </c>
      <c r="C29" s="845" t="s">
        <v>789</v>
      </c>
      <c r="D29" s="845" t="s">
        <v>790</v>
      </c>
      <c r="E29" s="845" t="s">
        <v>791</v>
      </c>
      <c r="F29" s="845" t="s">
        <v>814</v>
      </c>
      <c r="G29" s="845" t="s">
        <v>826</v>
      </c>
      <c r="H29" s="1060" t="s">
        <v>827</v>
      </c>
      <c r="I29" s="845">
        <v>21984</v>
      </c>
      <c r="J29" s="845">
        <v>22044</v>
      </c>
      <c r="K29" s="187">
        <v>22693.8</v>
      </c>
      <c r="L29" s="845">
        <f t="shared" si="0"/>
        <v>649.79999999999927</v>
      </c>
      <c r="M29" s="845">
        <f t="shared" si="1"/>
        <v>22693.8</v>
      </c>
      <c r="N29" s="845">
        <v>44275.8</v>
      </c>
      <c r="O29" s="845">
        <f t="shared" si="2"/>
        <v>21582.000000000004</v>
      </c>
      <c r="P29" s="946" t="s">
        <v>1065</v>
      </c>
    </row>
    <row r="30" spans="2:16" ht="29.1" customHeight="1" x14ac:dyDescent="0.2">
      <c r="B30" s="845" t="s">
        <v>42</v>
      </c>
      <c r="C30" s="845" t="s">
        <v>789</v>
      </c>
      <c r="D30" s="845" t="s">
        <v>790</v>
      </c>
      <c r="E30" s="845" t="s">
        <v>791</v>
      </c>
      <c r="F30" s="845" t="s">
        <v>814</v>
      </c>
      <c r="G30" s="845" t="s">
        <v>828</v>
      </c>
      <c r="H30" s="1060" t="s">
        <v>829</v>
      </c>
      <c r="I30" s="845">
        <v>7900</v>
      </c>
      <c r="J30" s="845">
        <v>5817</v>
      </c>
      <c r="K30" s="187">
        <v>7289.92</v>
      </c>
      <c r="L30" s="845">
        <f t="shared" si="0"/>
        <v>1472.92</v>
      </c>
      <c r="M30" s="845">
        <f t="shared" si="1"/>
        <v>7289.92</v>
      </c>
      <c r="N30" s="845">
        <v>14209.24</v>
      </c>
      <c r="O30" s="845">
        <f t="shared" si="2"/>
        <v>6919.32</v>
      </c>
      <c r="P30" s="946" t="s">
        <v>1066</v>
      </c>
    </row>
    <row r="31" spans="2:16" ht="29.1" customHeight="1" x14ac:dyDescent="0.2">
      <c r="B31" s="845" t="s">
        <v>42</v>
      </c>
      <c r="C31" s="845" t="s">
        <v>789</v>
      </c>
      <c r="D31" s="845" t="s">
        <v>790</v>
      </c>
      <c r="E31" s="845" t="s">
        <v>791</v>
      </c>
      <c r="F31" s="845" t="s">
        <v>814</v>
      </c>
      <c r="G31" s="845" t="s">
        <v>830</v>
      </c>
      <c r="H31" s="1060" t="s">
        <v>831</v>
      </c>
      <c r="I31" s="845">
        <v>1166379</v>
      </c>
      <c r="J31" s="845">
        <v>1576723</v>
      </c>
      <c r="K31" s="187">
        <v>1580478.11</v>
      </c>
      <c r="L31" s="845">
        <f t="shared" si="0"/>
        <v>3755.1100000001024</v>
      </c>
      <c r="M31" s="845">
        <f t="shared" si="1"/>
        <v>1580478.11</v>
      </c>
      <c r="N31" s="845">
        <v>1185082.32</v>
      </c>
      <c r="O31" s="845">
        <f t="shared" si="2"/>
        <v>-395395.79000000004</v>
      </c>
      <c r="P31" s="946" t="s">
        <v>1078</v>
      </c>
    </row>
    <row r="32" spans="2:16" ht="29.1" customHeight="1" x14ac:dyDescent="0.2">
      <c r="B32" s="845" t="s">
        <v>42</v>
      </c>
      <c r="C32" s="845" t="s">
        <v>789</v>
      </c>
      <c r="D32" s="845" t="s">
        <v>790</v>
      </c>
      <c r="E32" s="845" t="s">
        <v>791</v>
      </c>
      <c r="F32" s="845" t="s">
        <v>814</v>
      </c>
      <c r="G32" s="845" t="s">
        <v>832</v>
      </c>
      <c r="H32" s="1060" t="s">
        <v>833</v>
      </c>
      <c r="I32" s="845">
        <v>188256</v>
      </c>
      <c r="J32" s="845">
        <v>167466</v>
      </c>
      <c r="K32" s="187">
        <v>131648.01999999999</v>
      </c>
      <c r="L32" s="845">
        <f t="shared" si="0"/>
        <v>-35817.98000000001</v>
      </c>
      <c r="M32" s="845">
        <f t="shared" si="1"/>
        <v>131648.01999999999</v>
      </c>
      <c r="N32" s="845">
        <v>235232.12</v>
      </c>
      <c r="O32" s="845">
        <f t="shared" si="2"/>
        <v>103584.1</v>
      </c>
      <c r="P32" s="946" t="s">
        <v>1067</v>
      </c>
    </row>
    <row r="33" spans="2:16" ht="60" customHeight="1" x14ac:dyDescent="0.2">
      <c r="B33" s="845" t="s">
        <v>42</v>
      </c>
      <c r="C33" s="845" t="s">
        <v>789</v>
      </c>
      <c r="D33" s="845" t="s">
        <v>790</v>
      </c>
      <c r="E33" s="845" t="s">
        <v>791</v>
      </c>
      <c r="F33" s="845" t="s">
        <v>814</v>
      </c>
      <c r="G33" s="845" t="s">
        <v>834</v>
      </c>
      <c r="H33" s="1060" t="s">
        <v>835</v>
      </c>
      <c r="I33" s="845">
        <v>4463019</v>
      </c>
      <c r="J33" s="845">
        <v>3059892</v>
      </c>
      <c r="K33" s="187">
        <v>2749670.19</v>
      </c>
      <c r="L33" s="845">
        <f t="shared" si="0"/>
        <v>-310221.81000000006</v>
      </c>
      <c r="M33" s="845">
        <f t="shared" si="1"/>
        <v>2749670.19</v>
      </c>
      <c r="N33" s="845">
        <v>4533978.5999999996</v>
      </c>
      <c r="O33" s="845">
        <f t="shared" si="2"/>
        <v>1784308.4099999997</v>
      </c>
      <c r="P33" s="1042" t="s">
        <v>1068</v>
      </c>
    </row>
    <row r="34" spans="2:16" ht="29.1" customHeight="1" x14ac:dyDescent="0.2">
      <c r="B34" s="845" t="s">
        <v>42</v>
      </c>
      <c r="C34" s="845" t="s">
        <v>789</v>
      </c>
      <c r="D34" s="845" t="s">
        <v>790</v>
      </c>
      <c r="E34" s="845" t="s">
        <v>791</v>
      </c>
      <c r="F34" s="845" t="s">
        <v>814</v>
      </c>
      <c r="G34" s="845" t="s">
        <v>836</v>
      </c>
      <c r="H34" s="1060" t="s">
        <v>837</v>
      </c>
      <c r="I34" s="845">
        <v>19836</v>
      </c>
      <c r="J34" s="845">
        <v>9918</v>
      </c>
      <c r="K34" s="187">
        <v>2500</v>
      </c>
      <c r="L34" s="845">
        <f t="shared" si="0"/>
        <v>-7418</v>
      </c>
      <c r="M34" s="845">
        <f t="shared" si="1"/>
        <v>2500</v>
      </c>
      <c r="N34" s="845">
        <v>2500</v>
      </c>
      <c r="O34" s="845">
        <f t="shared" si="2"/>
        <v>0</v>
      </c>
      <c r="P34" s="946" t="s">
        <v>1069</v>
      </c>
    </row>
    <row r="35" spans="2:16" ht="29.1" customHeight="1" x14ac:dyDescent="0.2">
      <c r="B35" s="845" t="s">
        <v>42</v>
      </c>
      <c r="C35" s="845" t="s">
        <v>789</v>
      </c>
      <c r="D35" s="845" t="s">
        <v>790</v>
      </c>
      <c r="E35" s="845" t="s">
        <v>791</v>
      </c>
      <c r="F35" s="845" t="s">
        <v>838</v>
      </c>
      <c r="G35" s="845" t="s">
        <v>839</v>
      </c>
      <c r="H35" s="1060" t="s">
        <v>840</v>
      </c>
      <c r="I35" s="845">
        <v>29018</v>
      </c>
      <c r="J35" s="845">
        <v>17822</v>
      </c>
      <c r="K35" s="187">
        <v>23030.94</v>
      </c>
      <c r="L35" s="845">
        <f t="shared" si="0"/>
        <v>5208.9399999999987</v>
      </c>
      <c r="M35" s="845">
        <f t="shared" si="1"/>
        <v>23030.94</v>
      </c>
      <c r="N35" s="845">
        <v>22597.72</v>
      </c>
      <c r="O35" s="845">
        <f t="shared" si="2"/>
        <v>-433.21999999999753</v>
      </c>
      <c r="P35" s="946" t="s">
        <v>1070</v>
      </c>
    </row>
    <row r="36" spans="2:16" ht="29.1" customHeight="1" x14ac:dyDescent="0.2">
      <c r="B36" s="845" t="s">
        <v>42</v>
      </c>
      <c r="C36" s="845" t="s">
        <v>789</v>
      </c>
      <c r="D36" s="845" t="s">
        <v>790</v>
      </c>
      <c r="E36" s="845" t="s">
        <v>791</v>
      </c>
      <c r="F36" s="845" t="s">
        <v>838</v>
      </c>
      <c r="G36" s="845" t="s">
        <v>1045</v>
      </c>
      <c r="H36" s="1060" t="s">
        <v>1046</v>
      </c>
      <c r="I36" s="845">
        <v>0</v>
      </c>
      <c r="J36" s="845">
        <v>0</v>
      </c>
      <c r="K36" s="187">
        <v>13000</v>
      </c>
      <c r="L36" s="845">
        <f t="shared" si="0"/>
        <v>13000</v>
      </c>
      <c r="M36" s="845">
        <f t="shared" si="1"/>
        <v>13000</v>
      </c>
      <c r="N36" s="845">
        <v>13000</v>
      </c>
      <c r="O36" s="845">
        <f t="shared" si="2"/>
        <v>0</v>
      </c>
      <c r="P36" s="946" t="s">
        <v>1071</v>
      </c>
    </row>
    <row r="37" spans="2:16" ht="29.1" customHeight="1" x14ac:dyDescent="0.2">
      <c r="B37" s="845" t="s">
        <v>42</v>
      </c>
      <c r="C37" s="845" t="s">
        <v>789</v>
      </c>
      <c r="D37" s="845" t="s">
        <v>790</v>
      </c>
      <c r="E37" s="845" t="s">
        <v>791</v>
      </c>
      <c r="F37" s="845" t="s">
        <v>838</v>
      </c>
      <c r="G37" s="845" t="s">
        <v>841</v>
      </c>
      <c r="H37" s="1060" t="s">
        <v>842</v>
      </c>
      <c r="I37" s="845">
        <v>543</v>
      </c>
      <c r="J37" s="845">
        <v>271</v>
      </c>
      <c r="K37" s="187">
        <v>300</v>
      </c>
      <c r="L37" s="845">
        <f t="shared" si="0"/>
        <v>29</v>
      </c>
      <c r="M37" s="845">
        <f t="shared" si="1"/>
        <v>300</v>
      </c>
      <c r="N37" s="845">
        <v>600</v>
      </c>
      <c r="O37" s="845">
        <f t="shared" si="2"/>
        <v>300</v>
      </c>
      <c r="P37" s="946" t="s">
        <v>1072</v>
      </c>
    </row>
    <row r="38" spans="2:16" ht="29.1" customHeight="1" x14ac:dyDescent="0.2">
      <c r="B38" s="845" t="s">
        <v>42</v>
      </c>
      <c r="C38" s="845" t="s">
        <v>789</v>
      </c>
      <c r="D38" s="845" t="s">
        <v>790</v>
      </c>
      <c r="E38" s="845" t="s">
        <v>791</v>
      </c>
      <c r="F38" s="845" t="s">
        <v>838</v>
      </c>
      <c r="G38" s="845" t="s">
        <v>843</v>
      </c>
      <c r="H38" s="1060" t="s">
        <v>844</v>
      </c>
      <c r="I38" s="845">
        <v>1571</v>
      </c>
      <c r="J38" s="845">
        <v>786</v>
      </c>
      <c r="K38" s="187">
        <v>1182</v>
      </c>
      <c r="L38" s="845">
        <f t="shared" si="0"/>
        <v>396</v>
      </c>
      <c r="M38" s="845">
        <f t="shared" si="1"/>
        <v>1182</v>
      </c>
      <c r="N38" s="845">
        <v>2364</v>
      </c>
      <c r="O38" s="845">
        <f t="shared" si="2"/>
        <v>1182</v>
      </c>
      <c r="P38" s="946" t="s">
        <v>1073</v>
      </c>
    </row>
    <row r="39" spans="2:16" ht="29.1" customHeight="1" x14ac:dyDescent="0.2">
      <c r="B39" s="845" t="s">
        <v>42</v>
      </c>
      <c r="C39" s="845" t="s">
        <v>789</v>
      </c>
      <c r="D39" s="845" t="s">
        <v>790</v>
      </c>
      <c r="E39" s="845" t="s">
        <v>791</v>
      </c>
      <c r="F39" s="845" t="s">
        <v>838</v>
      </c>
      <c r="G39" s="845" t="s">
        <v>845</v>
      </c>
      <c r="H39" s="1060" t="s">
        <v>846</v>
      </c>
      <c r="I39" s="845">
        <v>204301</v>
      </c>
      <c r="J39" s="845">
        <v>248267</v>
      </c>
      <c r="K39" s="187">
        <v>315252.59000000003</v>
      </c>
      <c r="L39" s="845">
        <f t="shared" si="0"/>
        <v>66985.590000000026</v>
      </c>
      <c r="M39" s="845">
        <f t="shared" si="1"/>
        <v>315252.59000000003</v>
      </c>
      <c r="N39" s="845">
        <v>253333.01</v>
      </c>
      <c r="O39" s="845">
        <f t="shared" si="2"/>
        <v>-61919.580000000016</v>
      </c>
      <c r="P39" s="946" t="s">
        <v>1074</v>
      </c>
    </row>
    <row r="40" spans="2:16" ht="48" customHeight="1" x14ac:dyDescent="0.2">
      <c r="B40" s="845" t="s">
        <v>42</v>
      </c>
      <c r="C40" s="845" t="s">
        <v>789</v>
      </c>
      <c r="D40" s="845" t="s">
        <v>790</v>
      </c>
      <c r="E40" s="845" t="s">
        <v>791</v>
      </c>
      <c r="F40" s="845" t="s">
        <v>847</v>
      </c>
      <c r="G40" s="845" t="s">
        <v>847</v>
      </c>
      <c r="H40" s="1060" t="s">
        <v>848</v>
      </c>
      <c r="I40" s="845">
        <v>11963</v>
      </c>
      <c r="J40" s="845">
        <v>0</v>
      </c>
      <c r="K40" s="187">
        <v>189765.77025</v>
      </c>
      <c r="L40" s="845">
        <f t="shared" si="0"/>
        <v>189765.77025</v>
      </c>
      <c r="M40" s="845">
        <f t="shared" si="1"/>
        <v>189765.77025</v>
      </c>
      <c r="N40" s="845"/>
      <c r="O40" s="845">
        <f t="shared" si="2"/>
        <v>-189765.77025</v>
      </c>
      <c r="P40" s="946" t="s">
        <v>1050</v>
      </c>
    </row>
    <row r="41" spans="2:16" ht="29.1" customHeight="1" x14ac:dyDescent="0.2">
      <c r="B41" s="845" t="s">
        <v>42</v>
      </c>
      <c r="C41" s="845" t="s">
        <v>789</v>
      </c>
      <c r="D41" s="845" t="s">
        <v>790</v>
      </c>
      <c r="E41" s="845" t="s">
        <v>791</v>
      </c>
      <c r="F41" s="845" t="s">
        <v>847</v>
      </c>
      <c r="G41" s="845" t="s">
        <v>849</v>
      </c>
      <c r="H41" s="1060" t="s">
        <v>850</v>
      </c>
      <c r="I41" s="845">
        <v>82081</v>
      </c>
      <c r="J41" s="845">
        <v>99500</v>
      </c>
      <c r="K41" s="187">
        <v>99500</v>
      </c>
      <c r="L41" s="845">
        <f t="shared" si="0"/>
        <v>0</v>
      </c>
      <c r="M41" s="845">
        <f t="shared" si="1"/>
        <v>99500</v>
      </c>
      <c r="N41" s="845">
        <v>99500</v>
      </c>
      <c r="O41" s="845">
        <f t="shared" si="2"/>
        <v>0</v>
      </c>
      <c r="P41" s="946" t="s">
        <v>990</v>
      </c>
    </row>
    <row r="42" spans="2:16" ht="29.1" customHeight="1" x14ac:dyDescent="0.2">
      <c r="B42" s="845" t="s">
        <v>42</v>
      </c>
      <c r="C42" s="845" t="s">
        <v>789</v>
      </c>
      <c r="D42" s="845" t="s">
        <v>790</v>
      </c>
      <c r="E42" s="845" t="s">
        <v>791</v>
      </c>
      <c r="F42" s="845" t="s">
        <v>851</v>
      </c>
      <c r="G42" s="845" t="s">
        <v>851</v>
      </c>
      <c r="H42" s="1060" t="s">
        <v>852</v>
      </c>
      <c r="I42" s="845">
        <v>190576</v>
      </c>
      <c r="J42" s="845">
        <v>0</v>
      </c>
      <c r="K42" s="845">
        <v>0</v>
      </c>
      <c r="L42" s="845">
        <f t="shared" si="0"/>
        <v>0</v>
      </c>
      <c r="M42" s="845">
        <f t="shared" si="1"/>
        <v>0</v>
      </c>
      <c r="N42" s="845">
        <v>0</v>
      </c>
      <c r="O42" s="845">
        <f t="shared" si="2"/>
        <v>0</v>
      </c>
      <c r="P42" s="946" t="s">
        <v>1044</v>
      </c>
    </row>
    <row r="43" spans="2:16" ht="29.25" thickBot="1" x14ac:dyDescent="0.25">
      <c r="B43" s="845" t="s">
        <v>42</v>
      </c>
      <c r="C43" s="845" t="s">
        <v>789</v>
      </c>
      <c r="D43" s="845" t="s">
        <v>790</v>
      </c>
      <c r="E43" s="845" t="s">
        <v>791</v>
      </c>
      <c r="F43" s="845" t="s">
        <v>847</v>
      </c>
      <c r="G43" s="845" t="s">
        <v>1075</v>
      </c>
      <c r="H43" s="1060" t="s">
        <v>1076</v>
      </c>
      <c r="I43" s="845"/>
      <c r="J43" s="845">
        <v>2000000</v>
      </c>
      <c r="K43" s="845">
        <v>2000000</v>
      </c>
      <c r="L43" s="845"/>
      <c r="M43" s="845">
        <f>J43</f>
        <v>2000000</v>
      </c>
      <c r="N43" s="845"/>
      <c r="O43" s="845"/>
      <c r="P43" s="946" t="s">
        <v>1077</v>
      </c>
    </row>
    <row r="44" spans="2:16" s="3" customFormat="1" ht="26.25" customHeight="1" thickBot="1" x14ac:dyDescent="0.3">
      <c r="B44" s="1039" t="s">
        <v>1079</v>
      </c>
      <c r="C44" s="1040"/>
      <c r="D44" s="1038"/>
      <c r="E44" s="1038"/>
      <c r="F44" s="1038"/>
      <c r="G44" s="1038"/>
      <c r="H44" s="1061"/>
      <c r="I44" s="1057">
        <f>SUM(I12:I42)</f>
        <v>15650375</v>
      </c>
      <c r="J44" s="1057">
        <f>SUM(J12:J42)-500000</f>
        <v>12395066</v>
      </c>
      <c r="K44" s="1057">
        <f>SUM(K12:K42)-500000</f>
        <v>13366434.510249998</v>
      </c>
      <c r="L44" s="1057">
        <f t="shared" ref="L44" si="3">SUM(L12:L43)</f>
        <v>971368.51025000005</v>
      </c>
      <c r="M44" s="1057">
        <f>SUM(M12:M42)-500000</f>
        <v>13366434.510249998</v>
      </c>
      <c r="N44" s="1057">
        <f>SUM(N12:N42)</f>
        <v>17546561.66</v>
      </c>
      <c r="O44" s="1057">
        <f>SUM(O12:O42)</f>
        <v>3680127.1497499994</v>
      </c>
      <c r="P44" s="54"/>
    </row>
    <row r="45" spans="2:16" s="3" customFormat="1" x14ac:dyDescent="0.2">
      <c r="B45" s="53"/>
      <c r="C45" s="54"/>
      <c r="D45" s="54"/>
      <c r="H45" s="5"/>
      <c r="J45" s="54"/>
    </row>
    <row r="46" spans="2:16" s="3" customFormat="1" ht="15" thickBot="1" x14ac:dyDescent="0.25">
      <c r="B46" s="53"/>
      <c r="C46" s="54"/>
      <c r="D46" s="54"/>
      <c r="H46" s="5"/>
      <c r="J46" s="54"/>
    </row>
    <row r="47" spans="2:16" ht="15" x14ac:dyDescent="0.25">
      <c r="B47" s="178" t="s">
        <v>137</v>
      </c>
      <c r="C47" s="179"/>
      <c r="D47" s="179"/>
      <c r="E47" s="179"/>
      <c r="F47" s="179"/>
      <c r="G47" s="179"/>
      <c r="H47" s="1059"/>
      <c r="I47" s="179"/>
      <c r="J47" s="179"/>
      <c r="K47" s="180" t="s">
        <v>41</v>
      </c>
      <c r="L47" s="179"/>
      <c r="M47" s="179"/>
      <c r="N47" s="180" t="s">
        <v>41</v>
      </c>
      <c r="O47" s="179"/>
      <c r="P47" s="181" t="s">
        <v>41</v>
      </c>
    </row>
    <row r="48" spans="2:16" s="186" customFormat="1" ht="53.25" customHeight="1" thickBot="1" x14ac:dyDescent="0.25">
      <c r="B48" s="182" t="s">
        <v>42</v>
      </c>
      <c r="C48" s="183" t="s">
        <v>43</v>
      </c>
      <c r="D48" s="183" t="s">
        <v>44</v>
      </c>
      <c r="E48" s="184" t="s">
        <v>5</v>
      </c>
      <c r="F48" s="183" t="s">
        <v>45</v>
      </c>
      <c r="G48" s="184" t="s">
        <v>138</v>
      </c>
      <c r="H48" s="183" t="s">
        <v>48</v>
      </c>
      <c r="I48" s="183" t="s">
        <v>50</v>
      </c>
      <c r="J48" s="183" t="s">
        <v>132</v>
      </c>
      <c r="K48" s="183" t="s">
        <v>52</v>
      </c>
      <c r="L48" s="183" t="s">
        <v>133</v>
      </c>
      <c r="M48" s="183" t="s">
        <v>134</v>
      </c>
      <c r="N48" s="183" t="s">
        <v>54</v>
      </c>
      <c r="O48" s="183" t="s">
        <v>135</v>
      </c>
      <c r="P48" s="185" t="s">
        <v>136</v>
      </c>
    </row>
    <row r="49" spans="2:16" ht="28.5" x14ac:dyDescent="0.2">
      <c r="B49" s="845" t="s">
        <v>42</v>
      </c>
      <c r="C49" s="845" t="s">
        <v>789</v>
      </c>
      <c r="D49" s="845" t="s">
        <v>790</v>
      </c>
      <c r="E49" s="845" t="s">
        <v>791</v>
      </c>
      <c r="F49" s="846" t="s">
        <v>853</v>
      </c>
      <c r="G49" s="846" t="s">
        <v>854</v>
      </c>
      <c r="H49" s="1062" t="s">
        <v>855</v>
      </c>
      <c r="I49" s="845">
        <v>2306</v>
      </c>
      <c r="J49" s="845">
        <v>2306</v>
      </c>
      <c r="K49" s="845">
        <v>2306</v>
      </c>
      <c r="L49" s="845">
        <f>K49-J49</f>
        <v>0</v>
      </c>
      <c r="M49" s="845">
        <f>K49</f>
        <v>2306</v>
      </c>
      <c r="N49" s="845">
        <v>2306</v>
      </c>
      <c r="O49" s="845">
        <f>N49-M49</f>
        <v>0</v>
      </c>
      <c r="P49" s="943" t="s">
        <v>961</v>
      </c>
    </row>
    <row r="50" spans="2:16" ht="28.5" x14ac:dyDescent="0.2">
      <c r="B50" s="845" t="s">
        <v>42</v>
      </c>
      <c r="C50" s="845" t="s">
        <v>789</v>
      </c>
      <c r="D50" s="845" t="s">
        <v>790</v>
      </c>
      <c r="E50" s="845" t="s">
        <v>791</v>
      </c>
      <c r="F50" s="846" t="s">
        <v>853</v>
      </c>
      <c r="G50" s="846" t="s">
        <v>856</v>
      </c>
      <c r="H50" s="1062" t="s">
        <v>857</v>
      </c>
      <c r="I50" s="845">
        <v>196000</v>
      </c>
      <c r="J50" s="845">
        <v>196000</v>
      </c>
      <c r="K50" s="845">
        <v>196000</v>
      </c>
      <c r="L50" s="845">
        <f t="shared" ref="L50:L72" si="4">K50-J50</f>
        <v>0</v>
      </c>
      <c r="M50" s="845">
        <f t="shared" ref="M50:M72" si="5">K50</f>
        <v>196000</v>
      </c>
      <c r="N50" s="845">
        <v>196000</v>
      </c>
      <c r="O50" s="845">
        <f t="shared" ref="O50:O72" si="6">N50-M50</f>
        <v>0</v>
      </c>
      <c r="P50" s="943" t="s">
        <v>961</v>
      </c>
    </row>
    <row r="51" spans="2:16" ht="28.5" x14ac:dyDescent="0.2">
      <c r="B51" s="845" t="s">
        <v>42</v>
      </c>
      <c r="C51" s="845" t="s">
        <v>789</v>
      </c>
      <c r="D51" s="845" t="s">
        <v>790</v>
      </c>
      <c r="E51" s="845" t="s">
        <v>791</v>
      </c>
      <c r="F51" s="846" t="s">
        <v>853</v>
      </c>
      <c r="G51" s="846" t="s">
        <v>858</v>
      </c>
      <c r="H51" s="1062" t="s">
        <v>859</v>
      </c>
      <c r="I51" s="845">
        <v>34764</v>
      </c>
      <c r="J51" s="845">
        <v>34764</v>
      </c>
      <c r="K51" s="845">
        <v>34764</v>
      </c>
      <c r="L51" s="845">
        <f t="shared" si="4"/>
        <v>0</v>
      </c>
      <c r="M51" s="845">
        <f t="shared" si="5"/>
        <v>34764</v>
      </c>
      <c r="N51" s="845">
        <v>34764</v>
      </c>
      <c r="O51" s="845">
        <f t="shared" si="6"/>
        <v>0</v>
      </c>
      <c r="P51" s="943" t="s">
        <v>961</v>
      </c>
    </row>
    <row r="52" spans="2:16" ht="28.5" x14ac:dyDescent="0.2">
      <c r="B52" s="845" t="s">
        <v>42</v>
      </c>
      <c r="C52" s="845" t="s">
        <v>789</v>
      </c>
      <c r="D52" s="845" t="s">
        <v>790</v>
      </c>
      <c r="E52" s="845" t="s">
        <v>791</v>
      </c>
      <c r="F52" s="846" t="s">
        <v>853</v>
      </c>
      <c r="G52" s="846" t="s">
        <v>860</v>
      </c>
      <c r="H52" s="1062" t="s">
        <v>861</v>
      </c>
      <c r="I52" s="845">
        <v>101867</v>
      </c>
      <c r="J52" s="845">
        <v>101138</v>
      </c>
      <c r="K52" s="845">
        <v>101867</v>
      </c>
      <c r="L52" s="845">
        <f t="shared" si="4"/>
        <v>729</v>
      </c>
      <c r="M52" s="845">
        <f t="shared" si="5"/>
        <v>101867</v>
      </c>
      <c r="N52" s="845">
        <v>101867</v>
      </c>
      <c r="O52" s="845">
        <f t="shared" si="6"/>
        <v>0</v>
      </c>
      <c r="P52" s="943" t="s">
        <v>961</v>
      </c>
    </row>
    <row r="53" spans="2:16" ht="28.5" x14ac:dyDescent="0.2">
      <c r="B53" s="845" t="s">
        <v>42</v>
      </c>
      <c r="C53" s="845" t="s">
        <v>789</v>
      </c>
      <c r="D53" s="845" t="s">
        <v>790</v>
      </c>
      <c r="E53" s="845" t="s">
        <v>791</v>
      </c>
      <c r="F53" s="846" t="s">
        <v>853</v>
      </c>
      <c r="G53" s="846" t="s">
        <v>862</v>
      </c>
      <c r="H53" s="1062" t="s">
        <v>863</v>
      </c>
      <c r="I53" s="845">
        <v>46996</v>
      </c>
      <c r="J53" s="845">
        <v>48098</v>
      </c>
      <c r="K53" s="845">
        <v>46996</v>
      </c>
      <c r="L53" s="845">
        <f t="shared" si="4"/>
        <v>-1102</v>
      </c>
      <c r="M53" s="845">
        <f t="shared" si="5"/>
        <v>46996</v>
      </c>
      <c r="N53" s="845">
        <v>46996</v>
      </c>
      <c r="O53" s="845">
        <f t="shared" si="6"/>
        <v>0</v>
      </c>
      <c r="P53" s="943" t="s">
        <v>961</v>
      </c>
    </row>
    <row r="54" spans="2:16" ht="28.5" x14ac:dyDescent="0.2">
      <c r="B54" s="845" t="s">
        <v>42</v>
      </c>
      <c r="C54" s="845" t="s">
        <v>789</v>
      </c>
      <c r="D54" s="845" t="s">
        <v>790</v>
      </c>
      <c r="E54" s="845" t="s">
        <v>791</v>
      </c>
      <c r="F54" s="846" t="s">
        <v>853</v>
      </c>
      <c r="G54" s="846" t="s">
        <v>864</v>
      </c>
      <c r="H54" s="1062" t="s">
        <v>865</v>
      </c>
      <c r="I54" s="845">
        <v>22000</v>
      </c>
      <c r="J54" s="845">
        <v>22000</v>
      </c>
      <c r="K54" s="845">
        <v>22000</v>
      </c>
      <c r="L54" s="845">
        <f t="shared" si="4"/>
        <v>0</v>
      </c>
      <c r="M54" s="845">
        <f t="shared" si="5"/>
        <v>22000</v>
      </c>
      <c r="N54" s="845">
        <v>22000</v>
      </c>
      <c r="O54" s="845">
        <f t="shared" si="6"/>
        <v>0</v>
      </c>
      <c r="P54" s="943" t="s">
        <v>961</v>
      </c>
    </row>
    <row r="55" spans="2:16" ht="28.5" x14ac:dyDescent="0.2">
      <c r="B55" s="845" t="s">
        <v>42</v>
      </c>
      <c r="C55" s="845" t="s">
        <v>789</v>
      </c>
      <c r="D55" s="845" t="s">
        <v>790</v>
      </c>
      <c r="E55" s="845" t="s">
        <v>791</v>
      </c>
      <c r="F55" s="846" t="s">
        <v>853</v>
      </c>
      <c r="G55" s="846" t="s">
        <v>866</v>
      </c>
      <c r="H55" s="1062" t="s">
        <v>867</v>
      </c>
      <c r="I55" s="845">
        <v>90000</v>
      </c>
      <c r="J55" s="845">
        <v>90000</v>
      </c>
      <c r="K55" s="845">
        <v>93000</v>
      </c>
      <c r="L55" s="845">
        <f t="shared" si="4"/>
        <v>3000</v>
      </c>
      <c r="M55" s="845">
        <f t="shared" si="5"/>
        <v>93000</v>
      </c>
      <c r="N55" s="845">
        <v>93000</v>
      </c>
      <c r="O55" s="845">
        <f t="shared" si="6"/>
        <v>0</v>
      </c>
      <c r="P55" s="943" t="s">
        <v>961</v>
      </c>
    </row>
    <row r="56" spans="2:16" ht="28.5" x14ac:dyDescent="0.2">
      <c r="B56" s="845" t="s">
        <v>42</v>
      </c>
      <c r="C56" s="845" t="s">
        <v>789</v>
      </c>
      <c r="D56" s="845" t="s">
        <v>790</v>
      </c>
      <c r="E56" s="845" t="s">
        <v>791</v>
      </c>
      <c r="F56" s="846" t="s">
        <v>853</v>
      </c>
      <c r="G56" s="846" t="s">
        <v>868</v>
      </c>
      <c r="H56" s="1062" t="s">
        <v>869</v>
      </c>
      <c r="I56" s="845">
        <v>12600</v>
      </c>
      <c r="J56" s="845">
        <v>12600</v>
      </c>
      <c r="K56" s="845">
        <v>12600</v>
      </c>
      <c r="L56" s="845">
        <f t="shared" si="4"/>
        <v>0</v>
      </c>
      <c r="M56" s="845">
        <f t="shared" si="5"/>
        <v>12600</v>
      </c>
      <c r="N56" s="845">
        <v>12600</v>
      </c>
      <c r="O56" s="845">
        <f t="shared" si="6"/>
        <v>0</v>
      </c>
      <c r="P56" s="943" t="s">
        <v>961</v>
      </c>
    </row>
    <row r="57" spans="2:16" ht="28.5" x14ac:dyDescent="0.2">
      <c r="B57" s="845" t="s">
        <v>42</v>
      </c>
      <c r="C57" s="845" t="s">
        <v>789</v>
      </c>
      <c r="D57" s="845" t="s">
        <v>790</v>
      </c>
      <c r="E57" s="845" t="s">
        <v>791</v>
      </c>
      <c r="F57" s="846" t="s">
        <v>853</v>
      </c>
      <c r="G57" s="846" t="s">
        <v>870</v>
      </c>
      <c r="H57" s="1062" t="s">
        <v>871</v>
      </c>
      <c r="I57" s="845">
        <v>3930</v>
      </c>
      <c r="J57" s="845">
        <v>4047</v>
      </c>
      <c r="K57" s="845">
        <v>4045</v>
      </c>
      <c r="L57" s="845">
        <f t="shared" si="4"/>
        <v>-2</v>
      </c>
      <c r="M57" s="845">
        <f t="shared" si="5"/>
        <v>4045</v>
      </c>
      <c r="N57" s="845">
        <v>4165</v>
      </c>
      <c r="O57" s="845">
        <f t="shared" si="6"/>
        <v>120</v>
      </c>
      <c r="P57" s="943" t="s">
        <v>961</v>
      </c>
    </row>
    <row r="58" spans="2:16" ht="28.5" x14ac:dyDescent="0.2">
      <c r="B58" s="845" t="s">
        <v>42</v>
      </c>
      <c r="C58" s="845" t="s">
        <v>789</v>
      </c>
      <c r="D58" s="845" t="s">
        <v>790</v>
      </c>
      <c r="E58" s="845" t="s">
        <v>791</v>
      </c>
      <c r="F58" s="846" t="s">
        <v>853</v>
      </c>
      <c r="G58" s="846" t="s">
        <v>872</v>
      </c>
      <c r="H58" s="1062" t="s">
        <v>873</v>
      </c>
      <c r="I58" s="845">
        <v>4800</v>
      </c>
      <c r="J58" s="845">
        <v>4800</v>
      </c>
      <c r="K58" s="845">
        <v>4940</v>
      </c>
      <c r="L58" s="845">
        <f t="shared" si="4"/>
        <v>140</v>
      </c>
      <c r="M58" s="845">
        <f t="shared" si="5"/>
        <v>4940</v>
      </c>
      <c r="N58" s="845">
        <v>4940</v>
      </c>
      <c r="O58" s="845">
        <f t="shared" si="6"/>
        <v>0</v>
      </c>
      <c r="P58" s="943" t="s">
        <v>961</v>
      </c>
    </row>
    <row r="59" spans="2:16" ht="28.5" x14ac:dyDescent="0.2">
      <c r="B59" s="845" t="s">
        <v>42</v>
      </c>
      <c r="C59" s="845" t="s">
        <v>789</v>
      </c>
      <c r="D59" s="845" t="s">
        <v>790</v>
      </c>
      <c r="E59" s="845" t="s">
        <v>791</v>
      </c>
      <c r="F59" s="846" t="s">
        <v>853</v>
      </c>
      <c r="G59" s="846" t="s">
        <v>874</v>
      </c>
      <c r="H59" s="1062" t="s">
        <v>875</v>
      </c>
      <c r="I59" s="845">
        <v>10168</v>
      </c>
      <c r="J59" s="845">
        <v>10392</v>
      </c>
      <c r="K59" s="845">
        <v>10465</v>
      </c>
      <c r="L59" s="845">
        <f t="shared" si="4"/>
        <v>73</v>
      </c>
      <c r="M59" s="845">
        <f t="shared" si="5"/>
        <v>10465</v>
      </c>
      <c r="N59" s="845">
        <v>10695</v>
      </c>
      <c r="O59" s="845">
        <f t="shared" si="6"/>
        <v>230</v>
      </c>
      <c r="P59" s="943" t="s">
        <v>961</v>
      </c>
    </row>
    <row r="60" spans="2:16" ht="28.5" x14ac:dyDescent="0.2">
      <c r="B60" s="845" t="s">
        <v>42</v>
      </c>
      <c r="C60" s="845" t="s">
        <v>789</v>
      </c>
      <c r="D60" s="845" t="s">
        <v>790</v>
      </c>
      <c r="E60" s="845" t="s">
        <v>791</v>
      </c>
      <c r="F60" s="846" t="s">
        <v>853</v>
      </c>
      <c r="G60" s="846" t="s">
        <v>876</v>
      </c>
      <c r="H60" s="1062" t="s">
        <v>877</v>
      </c>
      <c r="I60" s="845">
        <v>70000</v>
      </c>
      <c r="J60" s="845">
        <v>48000</v>
      </c>
      <c r="K60" s="845">
        <v>48000</v>
      </c>
      <c r="L60" s="845">
        <f t="shared" si="4"/>
        <v>0</v>
      </c>
      <c r="M60" s="845">
        <f t="shared" si="5"/>
        <v>48000</v>
      </c>
      <c r="N60" s="845">
        <v>70000</v>
      </c>
      <c r="O60" s="845">
        <f t="shared" si="6"/>
        <v>22000</v>
      </c>
      <c r="P60" s="943" t="s">
        <v>961</v>
      </c>
    </row>
    <row r="61" spans="2:16" ht="28.5" x14ac:dyDescent="0.2">
      <c r="B61" s="845" t="s">
        <v>42</v>
      </c>
      <c r="C61" s="845" t="s">
        <v>789</v>
      </c>
      <c r="D61" s="845" t="s">
        <v>790</v>
      </c>
      <c r="E61" s="845" t="s">
        <v>791</v>
      </c>
      <c r="F61" s="846" t="s">
        <v>853</v>
      </c>
      <c r="G61" s="846" t="s">
        <v>878</v>
      </c>
      <c r="H61" s="1062" t="s">
        <v>879</v>
      </c>
      <c r="I61" s="845">
        <v>68772</v>
      </c>
      <c r="J61" s="845">
        <v>68772</v>
      </c>
      <c r="K61" s="845">
        <v>46079</v>
      </c>
      <c r="L61" s="845">
        <f t="shared" si="4"/>
        <v>-22693</v>
      </c>
      <c r="M61" s="845">
        <f t="shared" si="5"/>
        <v>46079</v>
      </c>
      <c r="N61" s="845">
        <v>60914</v>
      </c>
      <c r="O61" s="845">
        <f>N61-M61</f>
        <v>14835</v>
      </c>
      <c r="P61" s="943" t="s">
        <v>961</v>
      </c>
    </row>
    <row r="62" spans="2:16" ht="28.5" x14ac:dyDescent="0.2">
      <c r="B62" s="845" t="s">
        <v>42</v>
      </c>
      <c r="C62" s="845" t="s">
        <v>789</v>
      </c>
      <c r="D62" s="845" t="s">
        <v>790</v>
      </c>
      <c r="E62" s="845" t="s">
        <v>791</v>
      </c>
      <c r="F62" s="846" t="s">
        <v>853</v>
      </c>
      <c r="G62" s="846" t="s">
        <v>880</v>
      </c>
      <c r="H62" s="1062" t="s">
        <v>881</v>
      </c>
      <c r="I62" s="845">
        <v>68772</v>
      </c>
      <c r="J62" s="845">
        <v>68772</v>
      </c>
      <c r="K62" s="845">
        <v>58079</v>
      </c>
      <c r="L62" s="845">
        <f t="shared" si="4"/>
        <v>-10693</v>
      </c>
      <c r="M62" s="845">
        <f t="shared" si="5"/>
        <v>58079</v>
      </c>
      <c r="N62" s="845">
        <v>94762</v>
      </c>
      <c r="O62" s="845">
        <f t="shared" si="6"/>
        <v>36683</v>
      </c>
      <c r="P62" s="943" t="s">
        <v>961</v>
      </c>
    </row>
    <row r="63" spans="2:16" x14ac:dyDescent="0.2">
      <c r="B63" s="845" t="s">
        <v>42</v>
      </c>
      <c r="C63" s="845" t="s">
        <v>789</v>
      </c>
      <c r="D63" s="845" t="s">
        <v>790</v>
      </c>
      <c r="E63" s="845" t="s">
        <v>791</v>
      </c>
      <c r="F63" s="846" t="s">
        <v>853</v>
      </c>
      <c r="G63" s="846" t="s">
        <v>882</v>
      </c>
      <c r="H63" s="1062" t="s">
        <v>883</v>
      </c>
      <c r="I63" s="845">
        <v>300000</v>
      </c>
      <c r="J63" s="845">
        <v>185000</v>
      </c>
      <c r="K63" s="845">
        <v>185000</v>
      </c>
      <c r="L63" s="845">
        <f t="shared" si="4"/>
        <v>0</v>
      </c>
      <c r="M63" s="845">
        <f t="shared" si="5"/>
        <v>185000</v>
      </c>
      <c r="N63" s="845">
        <v>310000</v>
      </c>
      <c r="O63" s="845">
        <f t="shared" si="6"/>
        <v>125000</v>
      </c>
      <c r="P63" s="1009" t="s">
        <v>988</v>
      </c>
    </row>
    <row r="64" spans="2:16" ht="28.5" x14ac:dyDescent="0.2">
      <c r="B64" s="845" t="s">
        <v>42</v>
      </c>
      <c r="C64" s="845" t="s">
        <v>789</v>
      </c>
      <c r="D64" s="845" t="s">
        <v>790</v>
      </c>
      <c r="E64" s="845" t="s">
        <v>791</v>
      </c>
      <c r="F64" s="846" t="s">
        <v>853</v>
      </c>
      <c r="G64" s="846" t="s">
        <v>884</v>
      </c>
      <c r="H64" s="1062" t="s">
        <v>885</v>
      </c>
      <c r="I64" s="845">
        <v>2295</v>
      </c>
      <c r="J64" s="845">
        <v>2536</v>
      </c>
      <c r="K64" s="845">
        <v>1809</v>
      </c>
      <c r="L64" s="845">
        <f t="shared" si="4"/>
        <v>-727</v>
      </c>
      <c r="M64" s="845">
        <f t="shared" si="5"/>
        <v>1809</v>
      </c>
      <c r="N64" s="845">
        <v>1982</v>
      </c>
      <c r="O64" s="845">
        <f t="shared" si="6"/>
        <v>173</v>
      </c>
      <c r="P64" s="1054" t="s">
        <v>961</v>
      </c>
    </row>
    <row r="65" spans="2:16" x14ac:dyDescent="0.2">
      <c r="B65" s="845" t="s">
        <v>42</v>
      </c>
      <c r="C65" s="845" t="s">
        <v>789</v>
      </c>
      <c r="D65" s="845" t="s">
        <v>790</v>
      </c>
      <c r="E65" s="845" t="s">
        <v>791</v>
      </c>
      <c r="F65" s="846" t="s">
        <v>853</v>
      </c>
      <c r="G65" s="846" t="s">
        <v>886</v>
      </c>
      <c r="H65" s="1062" t="s">
        <v>887</v>
      </c>
      <c r="I65" s="845">
        <v>10500</v>
      </c>
      <c r="J65" s="845">
        <v>10500</v>
      </c>
      <c r="K65" s="845">
        <v>10500</v>
      </c>
      <c r="L65" s="845">
        <f t="shared" si="4"/>
        <v>0</v>
      </c>
      <c r="M65" s="845">
        <f t="shared" si="5"/>
        <v>10500</v>
      </c>
      <c r="N65" s="845">
        <v>10500</v>
      </c>
      <c r="O65" s="845">
        <f t="shared" si="6"/>
        <v>0</v>
      </c>
      <c r="P65" s="1009" t="s">
        <v>987</v>
      </c>
    </row>
    <row r="66" spans="2:16" x14ac:dyDescent="0.2">
      <c r="B66" s="845" t="s">
        <v>42</v>
      </c>
      <c r="C66" s="845" t="s">
        <v>789</v>
      </c>
      <c r="D66" s="845" t="s">
        <v>790</v>
      </c>
      <c r="E66" s="845" t="s">
        <v>791</v>
      </c>
      <c r="F66" s="846" t="s">
        <v>888</v>
      </c>
      <c r="G66" s="846" t="s">
        <v>889</v>
      </c>
      <c r="H66" s="1062" t="s">
        <v>890</v>
      </c>
      <c r="I66" s="845">
        <v>-75000</v>
      </c>
      <c r="J66" s="845">
        <v>0</v>
      </c>
      <c r="K66" s="845">
        <v>-65000</v>
      </c>
      <c r="L66" s="845">
        <f t="shared" si="4"/>
        <v>-65000</v>
      </c>
      <c r="M66" s="845">
        <f t="shared" si="5"/>
        <v>-65000</v>
      </c>
      <c r="N66" s="845">
        <v>0</v>
      </c>
      <c r="O66" s="845">
        <f t="shared" si="6"/>
        <v>65000</v>
      </c>
      <c r="P66" s="943" t="s">
        <v>913</v>
      </c>
    </row>
    <row r="67" spans="2:16" ht="28.5" x14ac:dyDescent="0.2">
      <c r="B67" s="845" t="s">
        <v>42</v>
      </c>
      <c r="C67" s="845" t="s">
        <v>789</v>
      </c>
      <c r="D67" s="845" t="s">
        <v>790</v>
      </c>
      <c r="E67" s="845" t="s">
        <v>791</v>
      </c>
      <c r="F67" s="846" t="s">
        <v>888</v>
      </c>
      <c r="G67" s="846" t="s">
        <v>891</v>
      </c>
      <c r="H67" s="1062" t="s">
        <v>892</v>
      </c>
      <c r="I67" s="845">
        <v>-70000</v>
      </c>
      <c r="J67" s="845">
        <v>0</v>
      </c>
      <c r="K67" s="845">
        <v>0</v>
      </c>
      <c r="L67" s="845">
        <f t="shared" si="4"/>
        <v>0</v>
      </c>
      <c r="M67" s="845">
        <f t="shared" si="5"/>
        <v>0</v>
      </c>
      <c r="N67" s="845">
        <v>0</v>
      </c>
      <c r="O67" s="845">
        <f t="shared" si="6"/>
        <v>0</v>
      </c>
      <c r="P67" s="943" t="s">
        <v>902</v>
      </c>
    </row>
    <row r="68" spans="2:16" ht="28.5" x14ac:dyDescent="0.2">
      <c r="B68" s="845" t="s">
        <v>42</v>
      </c>
      <c r="C68" s="845" t="s">
        <v>789</v>
      </c>
      <c r="D68" s="845" t="s">
        <v>790</v>
      </c>
      <c r="E68" s="845" t="s">
        <v>791</v>
      </c>
      <c r="F68" s="846" t="s">
        <v>888</v>
      </c>
      <c r="G68" s="846" t="s">
        <v>893</v>
      </c>
      <c r="H68" s="1062" t="s">
        <v>894</v>
      </c>
      <c r="I68" s="845">
        <v>0</v>
      </c>
      <c r="J68" s="845">
        <v>-52000</v>
      </c>
      <c r="K68" s="845">
        <v>-55000</v>
      </c>
      <c r="L68" s="845">
        <f t="shared" si="4"/>
        <v>-3000</v>
      </c>
      <c r="M68" s="845">
        <f t="shared" si="5"/>
        <v>-55000</v>
      </c>
      <c r="N68" s="845">
        <v>-55000</v>
      </c>
      <c r="O68" s="845">
        <f t="shared" si="6"/>
        <v>0</v>
      </c>
      <c r="P68" s="943" t="s">
        <v>903</v>
      </c>
    </row>
    <row r="69" spans="2:16" x14ac:dyDescent="0.2">
      <c r="B69" s="845" t="s">
        <v>42</v>
      </c>
      <c r="C69" s="845" t="s">
        <v>789</v>
      </c>
      <c r="D69" s="845" t="s">
        <v>790</v>
      </c>
      <c r="E69" s="845" t="s">
        <v>791</v>
      </c>
      <c r="F69" s="853" t="s">
        <v>888</v>
      </c>
      <c r="G69" s="853" t="s">
        <v>899</v>
      </c>
      <c r="H69" s="1063" t="s">
        <v>900</v>
      </c>
      <c r="I69" s="845">
        <v>0</v>
      </c>
      <c r="J69" s="845">
        <v>0</v>
      </c>
      <c r="K69" s="845">
        <v>-250000</v>
      </c>
      <c r="L69" s="845">
        <f t="shared" si="4"/>
        <v>-250000</v>
      </c>
      <c r="M69" s="845">
        <f t="shared" si="5"/>
        <v>-250000</v>
      </c>
      <c r="N69" s="845">
        <v>0</v>
      </c>
      <c r="O69" s="845">
        <f t="shared" si="6"/>
        <v>250000</v>
      </c>
      <c r="P69" s="943" t="s">
        <v>901</v>
      </c>
    </row>
    <row r="70" spans="2:16" ht="28.5" x14ac:dyDescent="0.2">
      <c r="B70" s="845" t="s">
        <v>42</v>
      </c>
      <c r="C70" s="845" t="s">
        <v>789</v>
      </c>
      <c r="D70" s="845" t="s">
        <v>790</v>
      </c>
      <c r="E70" s="845" t="s">
        <v>791</v>
      </c>
      <c r="F70" s="846" t="s">
        <v>888</v>
      </c>
      <c r="G70" s="846" t="s">
        <v>895</v>
      </c>
      <c r="H70" s="1062" t="s">
        <v>896</v>
      </c>
      <c r="I70" s="845">
        <v>0</v>
      </c>
      <c r="J70" s="845">
        <v>-351060</v>
      </c>
      <c r="K70" s="845">
        <v>-110000</v>
      </c>
      <c r="L70" s="845">
        <f>K70-J70</f>
        <v>241060</v>
      </c>
      <c r="M70" s="845">
        <f t="shared" si="5"/>
        <v>-110000</v>
      </c>
      <c r="N70" s="845">
        <v>0</v>
      </c>
      <c r="O70" s="845">
        <f t="shared" si="6"/>
        <v>110000</v>
      </c>
      <c r="P70" s="943" t="s">
        <v>904</v>
      </c>
    </row>
    <row r="71" spans="2:16" ht="28.5" x14ac:dyDescent="0.2">
      <c r="B71" s="845" t="s">
        <v>42</v>
      </c>
      <c r="C71" s="845" t="s">
        <v>789</v>
      </c>
      <c r="D71" s="845" t="s">
        <v>790</v>
      </c>
      <c r="E71" s="845" t="s">
        <v>791</v>
      </c>
      <c r="F71" s="846" t="s">
        <v>888</v>
      </c>
      <c r="G71" s="853" t="s">
        <v>905</v>
      </c>
      <c r="H71" s="1063" t="s">
        <v>906</v>
      </c>
      <c r="I71" s="845">
        <v>-25000</v>
      </c>
      <c r="J71" s="845">
        <v>0</v>
      </c>
      <c r="K71" s="845">
        <v>0</v>
      </c>
      <c r="L71" s="845">
        <f>K71-J71</f>
        <v>0</v>
      </c>
      <c r="M71" s="845">
        <f t="shared" si="5"/>
        <v>0</v>
      </c>
      <c r="N71" s="845">
        <v>0</v>
      </c>
      <c r="O71" s="845">
        <f t="shared" si="6"/>
        <v>0</v>
      </c>
      <c r="P71" s="943" t="s">
        <v>989</v>
      </c>
    </row>
    <row r="72" spans="2:16" x14ac:dyDescent="0.2">
      <c r="B72" s="845" t="s">
        <v>42</v>
      </c>
      <c r="C72" s="845" t="s">
        <v>789</v>
      </c>
      <c r="D72" s="845" t="s">
        <v>790</v>
      </c>
      <c r="E72" s="845" t="s">
        <v>791</v>
      </c>
      <c r="F72" s="846" t="s">
        <v>888</v>
      </c>
      <c r="G72" s="846" t="s">
        <v>897</v>
      </c>
      <c r="H72" s="1062" t="s">
        <v>898</v>
      </c>
      <c r="I72" s="845">
        <v>0</v>
      </c>
      <c r="J72" s="845">
        <v>-284219</v>
      </c>
      <c r="K72" s="845">
        <v>-290000</v>
      </c>
      <c r="L72" s="845">
        <f t="shared" si="4"/>
        <v>-5781</v>
      </c>
      <c r="M72" s="845">
        <f t="shared" si="5"/>
        <v>-290000</v>
      </c>
      <c r="N72" s="845">
        <v>0</v>
      </c>
      <c r="O72" s="845">
        <f t="shared" si="6"/>
        <v>290000</v>
      </c>
      <c r="P72" s="943" t="s">
        <v>907</v>
      </c>
    </row>
    <row r="73" spans="2:16" ht="15" thickBot="1" x14ac:dyDescent="0.25">
      <c r="I73" s="936"/>
    </row>
    <row r="74" spans="2:16" ht="15.75" thickBot="1" x14ac:dyDescent="0.3">
      <c r="B74" s="1049" t="s">
        <v>1080</v>
      </c>
      <c r="C74" s="1039"/>
      <c r="D74" s="1038"/>
      <c r="E74" s="1038"/>
      <c r="F74" s="1038"/>
      <c r="G74" s="1038"/>
      <c r="H74" s="1064"/>
      <c r="I74" s="1057">
        <f>SUM(I49:I72)</f>
        <v>875770</v>
      </c>
      <c r="J74" s="1057">
        <f t="shared" ref="J74:L74" si="7">SUM(J49:J72)</f>
        <v>222446</v>
      </c>
      <c r="K74" s="1057">
        <f t="shared" si="7"/>
        <v>108450</v>
      </c>
      <c r="L74" s="1057">
        <f t="shared" si="7"/>
        <v>-113996</v>
      </c>
      <c r="M74" s="1057">
        <f>SUM(M49:M72)</f>
        <v>108450</v>
      </c>
      <c r="N74" s="1057">
        <f t="shared" ref="N74:O74" si="8">SUM(N49:N72)</f>
        <v>1022491</v>
      </c>
      <c r="O74" s="1057">
        <f t="shared" si="8"/>
        <v>914041</v>
      </c>
      <c r="P74" s="54"/>
    </row>
    <row r="75" spans="2:16" ht="15" thickBot="1" x14ac:dyDescent="0.25">
      <c r="I75" s="302"/>
      <c r="J75" s="302"/>
      <c r="K75" s="302"/>
      <c r="L75" s="302"/>
      <c r="M75" s="302"/>
      <c r="N75" s="302"/>
      <c r="O75" s="302"/>
    </row>
    <row r="76" spans="2:16" ht="15.75" thickBot="1" x14ac:dyDescent="0.3">
      <c r="B76" s="1050" t="s">
        <v>1054</v>
      </c>
      <c r="C76" s="1053"/>
      <c r="D76" s="1052"/>
      <c r="E76" s="1052"/>
      <c r="F76" s="1052"/>
      <c r="G76" s="1051"/>
      <c r="H76" s="1065"/>
      <c r="I76" s="1057">
        <f>I44+I74</f>
        <v>16526145</v>
      </c>
      <c r="J76" s="1066">
        <f t="shared" ref="J76:O76" si="9">J44+J74</f>
        <v>12617512</v>
      </c>
      <c r="K76" s="1066">
        <f t="shared" si="9"/>
        <v>13474884.510249998</v>
      </c>
      <c r="L76" s="1066">
        <f t="shared" si="9"/>
        <v>857372.51025000005</v>
      </c>
      <c r="M76" s="1066">
        <f t="shared" si="9"/>
        <v>13474884.510249998</v>
      </c>
      <c r="N76" s="1057">
        <f t="shared" si="9"/>
        <v>18569052.66</v>
      </c>
      <c r="O76" s="1067">
        <f t="shared" si="9"/>
        <v>4594168.1497499999</v>
      </c>
      <c r="P76" s="54"/>
    </row>
    <row r="78" spans="2:16" x14ac:dyDescent="0.2">
      <c r="K78" s="1041"/>
      <c r="N78" s="1041"/>
    </row>
    <row r="79" spans="2:16" x14ac:dyDescent="0.2">
      <c r="I79" s="97"/>
      <c r="J79" s="97"/>
      <c r="K79" s="1068"/>
      <c r="L79" s="97"/>
      <c r="N79" s="1056"/>
    </row>
    <row r="80" spans="2:16" x14ac:dyDescent="0.2">
      <c r="I80" s="1069"/>
      <c r="J80" s="1069"/>
      <c r="K80" s="1069"/>
      <c r="L80" s="97"/>
    </row>
    <row r="84" spans="9:9" x14ac:dyDescent="0.2">
      <c r="I84" s="1041"/>
    </row>
  </sheetData>
  <pageMargins left="0.16" right="0.16" top="0.33" bottom="0.36" header="0.17" footer="0.18"/>
  <pageSetup paperSize="17" scale="76" orientation="landscape" r:id="rId1"/>
  <headerFooter alignWithMargins="0"/>
  <rowBreaks count="1" manualBreakCount="1">
    <brk id="4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28</vt:i4>
      </vt:variant>
    </vt:vector>
  </HeadingPairs>
  <TitlesOfParts>
    <vt:vector size="55" baseType="lpstr">
      <vt:lpstr>1A Major Changes Table</vt:lpstr>
      <vt:lpstr>1B Graphs</vt:lpstr>
      <vt:lpstr>1C Position Level Org Chart </vt:lpstr>
      <vt:lpstr>1C High Level Chart </vt:lpstr>
      <vt:lpstr>2A Revenue Report</vt:lpstr>
      <vt:lpstr>2B Fees &amp; Fines</vt:lpstr>
      <vt:lpstr>2C Cost Recovery</vt:lpstr>
      <vt:lpstr>2D Fee Eliminations</vt:lpstr>
      <vt:lpstr>3A Expenditure Report</vt:lpstr>
      <vt:lpstr>3B Children's Services</vt:lpstr>
      <vt:lpstr>3C Public Education Fund</vt:lpstr>
      <vt:lpstr>4 Equipment</vt:lpstr>
      <vt:lpstr>4C Base Equipment</vt:lpstr>
      <vt:lpstr>5 IT (Online)</vt:lpstr>
      <vt:lpstr>6 Capital Request (Online)</vt:lpstr>
      <vt:lpstr>7 Position Changes</vt:lpstr>
      <vt:lpstr>Form 8-Legislative Changes</vt:lpstr>
      <vt:lpstr>9A Contracts Non-ICT</vt:lpstr>
      <vt:lpstr>9B Contracts ICT</vt:lpstr>
      <vt:lpstr>10 - Contingency</vt:lpstr>
      <vt:lpstr>FMCS100</vt:lpstr>
      <vt:lpstr>Prop J Summary</vt:lpstr>
      <vt:lpstr>Prop J Main Template</vt:lpstr>
      <vt:lpstr>Prop J Cost Detail</vt:lpstr>
      <vt:lpstr>Prop J Sample</vt:lpstr>
      <vt:lpstr>Contact Sheet</vt:lpstr>
      <vt:lpstr>Sheet1</vt:lpstr>
      <vt:lpstr>'2B Fees &amp; Fines'!Auto_CPI_Adjust_Yes_No</vt:lpstr>
      <vt:lpstr>'2B Fees &amp; Fines'!cpi_adj</vt:lpstr>
      <vt:lpstr>'10 - Contingency'!Print_Area</vt:lpstr>
      <vt:lpstr>'1A Major Changes Table'!Print_Area</vt:lpstr>
      <vt:lpstr>'1B Graphs'!Print_Area</vt:lpstr>
      <vt:lpstr>'1C High Level Chart '!Print_Area</vt:lpstr>
      <vt:lpstr>'1C Position Level Org Chart '!Print_Area</vt:lpstr>
      <vt:lpstr>'2A Revenue Report'!Print_Area</vt:lpstr>
      <vt:lpstr>'2B Fees &amp; Fines'!Print_Area</vt:lpstr>
      <vt:lpstr>'2C Cost Recovery'!Print_Area</vt:lpstr>
      <vt:lpstr>'2D Fee Eliminations'!Print_Area</vt:lpstr>
      <vt:lpstr>'3A Expenditure Report'!Print_Area</vt:lpstr>
      <vt:lpstr>'3B Children''s Services'!Print_Area</vt:lpstr>
      <vt:lpstr>'4 Equipment'!Print_Area</vt:lpstr>
      <vt:lpstr>'4C Base Equipment'!Print_Area</vt:lpstr>
      <vt:lpstr>'5 IT (Online)'!Print_Area</vt:lpstr>
      <vt:lpstr>'7 Position Changes'!Print_Area</vt:lpstr>
      <vt:lpstr>'9B Contracts ICT'!Print_Area</vt:lpstr>
      <vt:lpstr>'Contact Sheet'!Print_Area</vt:lpstr>
      <vt:lpstr>FMCS100!Print_Area</vt:lpstr>
      <vt:lpstr>'Form 8-Legislative Changes'!Print_Area</vt:lpstr>
      <vt:lpstr>'Prop J Cost Detail'!Print_Area</vt:lpstr>
      <vt:lpstr>'Prop J Main Template'!Print_Area</vt:lpstr>
      <vt:lpstr>'Prop J Sample'!Print_Area</vt:lpstr>
      <vt:lpstr>'Prop J Summary'!Print_Area</vt:lpstr>
      <vt:lpstr>'2B Fees &amp; Fines'!Print_Titles</vt:lpstr>
      <vt:lpstr>'3B Children''s Services'!Print_Titles</vt:lpstr>
      <vt:lpstr>'Contact Sheet'!Print_Titles</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Guerra</dc:creator>
  <cp:lastModifiedBy>jarntz</cp:lastModifiedBy>
  <cp:lastPrinted>2014-01-29T21:23:08Z</cp:lastPrinted>
  <dcterms:created xsi:type="dcterms:W3CDTF">2013-11-21T02:27:32Z</dcterms:created>
  <dcterms:modified xsi:type="dcterms:W3CDTF">2014-01-29T22:54:26Z</dcterms:modified>
</cp:coreProperties>
</file>