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ves\Desktop\SS-ARCHITECTURE\2  PROJECTS\2023\23.004 MidTown -Comm PNA\A2.8 PNA\PNA Report\Final Docs\"/>
    </mc:Choice>
  </mc:AlternateContent>
  <bookViews>
    <workbookView xWindow="0" yWindow="0" windowWidth="23040" windowHeight="11412"/>
  </bookViews>
  <sheets>
    <sheet name="PNA" sheetId="1" r:id="rId1"/>
    <sheet name="Building 1" sheetId="2" r:id="rId2"/>
    <sheet name="Summary" sheetId="3" r:id="rId3"/>
  </sheets>
  <definedNames>
    <definedName name="_xlnm.Print_Area" localSheetId="1">'Building 1'!$A$1:$P$92</definedName>
    <definedName name="_xlnm.Print_Area" localSheetId="0">PNA!$A$1:$AJ$95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9" i="1" l="1"/>
  <c r="R91" i="2" l="1"/>
  <c r="C10" i="3" l="1"/>
  <c r="F5" i="3"/>
  <c r="F6" i="3"/>
  <c r="F7" i="3"/>
  <c r="F8" i="3"/>
  <c r="F9" i="3"/>
  <c r="F4" i="3"/>
  <c r="E10" i="3"/>
  <c r="F10" i="3" l="1"/>
  <c r="AJ32" i="1"/>
  <c r="AJ33" i="1"/>
  <c r="T61" i="1" l="1"/>
  <c r="AJ61" i="1" s="1"/>
  <c r="T60" i="1"/>
  <c r="AJ60" i="1" s="1"/>
  <c r="D116" i="1"/>
  <c r="G115" i="1"/>
  <c r="I115" i="1" s="1"/>
  <c r="AI83" i="1"/>
  <c r="F18" i="2" s="1"/>
  <c r="T31" i="1"/>
  <c r="N35" i="1" l="1"/>
  <c r="T35" i="1" s="1"/>
  <c r="AJ35" i="1" s="1"/>
  <c r="N34" i="1"/>
  <c r="T34" i="1" s="1"/>
  <c r="AJ34" i="1" s="1"/>
  <c r="L102" i="2" l="1"/>
  <c r="J41" i="2"/>
  <c r="K26" i="1" l="1"/>
  <c r="T69" i="1"/>
  <c r="AJ53" i="1"/>
  <c r="S45" i="2" l="1"/>
  <c r="I54" i="2"/>
  <c r="I55" i="2"/>
  <c r="I53" i="2"/>
  <c r="J35" i="2" l="1"/>
  <c r="K54" i="2" l="1"/>
  <c r="K55" i="2"/>
  <c r="K53" i="2"/>
  <c r="N32" i="2"/>
  <c r="J32" i="2"/>
  <c r="J26" i="2"/>
  <c r="L53" i="2" l="1"/>
  <c r="N53" i="2" s="1"/>
  <c r="P53" i="2" s="1"/>
  <c r="L55" i="2"/>
  <c r="N55" i="2" s="1"/>
  <c r="P55" i="2" s="1"/>
  <c r="P32" i="2"/>
  <c r="L54" i="2"/>
  <c r="N54" i="2" s="1"/>
  <c r="P54" i="2" s="1"/>
  <c r="N25" i="2"/>
  <c r="J25" i="2"/>
  <c r="P25" i="2" s="1"/>
  <c r="K22" i="1"/>
  <c r="H95" i="2" l="1"/>
  <c r="H96" i="2"/>
  <c r="H97" i="2"/>
  <c r="H98" i="2"/>
  <c r="H99" i="2"/>
  <c r="H94" i="2"/>
  <c r="N35" i="2"/>
  <c r="P35" i="2" s="1"/>
  <c r="N86" i="2"/>
  <c r="P86" i="2" s="1"/>
  <c r="N84" i="2"/>
  <c r="N87" i="2" l="1"/>
  <c r="N88" i="2" s="1"/>
  <c r="B7" i="2" s="1"/>
  <c r="H100" i="2"/>
  <c r="H103" i="2" s="1"/>
  <c r="L85" i="2"/>
  <c r="P85" i="2" s="1"/>
  <c r="L84" i="2"/>
  <c r="P84" i="2" s="1"/>
  <c r="L82" i="2"/>
  <c r="P82" i="2" s="1"/>
  <c r="L75" i="2"/>
  <c r="N56" i="2"/>
  <c r="N57" i="2"/>
  <c r="N58" i="2"/>
  <c r="N59" i="2"/>
  <c r="N60" i="2"/>
  <c r="N61" i="2"/>
  <c r="N62" i="2"/>
  <c r="N63" i="2"/>
  <c r="N64" i="2"/>
  <c r="N65" i="2"/>
  <c r="P65" i="2" s="1"/>
  <c r="N66" i="2"/>
  <c r="N67" i="2"/>
  <c r="N68" i="2"/>
  <c r="N26" i="2"/>
  <c r="P26" i="2" s="1"/>
  <c r="N24" i="2"/>
  <c r="P23" i="2"/>
  <c r="N23" i="2"/>
  <c r="K68" i="2"/>
  <c r="K67" i="2"/>
  <c r="K66" i="2"/>
  <c r="K65" i="2"/>
  <c r="K64" i="2"/>
  <c r="K63" i="2"/>
  <c r="K62" i="2"/>
  <c r="K61" i="2"/>
  <c r="K60" i="2"/>
  <c r="P60" i="2" s="1"/>
  <c r="K59" i="2"/>
  <c r="K58" i="2"/>
  <c r="K57" i="2"/>
  <c r="K56" i="2"/>
  <c r="J46" i="2"/>
  <c r="P46" i="2" s="1"/>
  <c r="J45" i="2"/>
  <c r="P45" i="2" s="1"/>
  <c r="J39" i="2"/>
  <c r="P39" i="2" s="1"/>
  <c r="J38" i="2"/>
  <c r="P38" i="2" s="1"/>
  <c r="J33" i="2"/>
  <c r="P33" i="2" s="1"/>
  <c r="J31" i="2"/>
  <c r="P31" i="2" s="1"/>
  <c r="J30" i="2"/>
  <c r="J29" i="2"/>
  <c r="P29" i="2" s="1"/>
  <c r="J28" i="2"/>
  <c r="N28" i="2" s="1"/>
  <c r="J27" i="2"/>
  <c r="P27" i="2" s="1"/>
  <c r="J24" i="2"/>
  <c r="J23" i="2"/>
  <c r="P61" i="2" l="1"/>
  <c r="H111" i="2"/>
  <c r="H106" i="2"/>
  <c r="H110" i="2"/>
  <c r="H109" i="2"/>
  <c r="H108" i="2"/>
  <c r="H107" i="2"/>
  <c r="P47" i="2"/>
  <c r="P48" i="2" s="1"/>
  <c r="C5" i="2" s="1"/>
  <c r="P58" i="2"/>
  <c r="P67" i="2"/>
  <c r="P63" i="2"/>
  <c r="P56" i="2"/>
  <c r="K69" i="2"/>
  <c r="P68" i="2"/>
  <c r="P57" i="2"/>
  <c r="P64" i="2"/>
  <c r="L87" i="2"/>
  <c r="P75" i="2"/>
  <c r="P87" i="2" s="1"/>
  <c r="P88" i="2" s="1"/>
  <c r="P66" i="2"/>
  <c r="P62" i="2"/>
  <c r="N69" i="2"/>
  <c r="P59" i="2"/>
  <c r="N30" i="2"/>
  <c r="N47" i="2" s="1"/>
  <c r="J47" i="2"/>
  <c r="K47" i="2" s="1"/>
  <c r="AJ84" i="1"/>
  <c r="T82" i="1"/>
  <c r="Y20" i="1"/>
  <c r="Y21" i="1"/>
  <c r="Y23" i="1"/>
  <c r="Y24" i="1"/>
  <c r="M19" i="1"/>
  <c r="N15" i="1"/>
  <c r="AI15" i="1" s="1"/>
  <c r="AJ15" i="1" s="1"/>
  <c r="N16" i="1"/>
  <c r="T16" i="1" s="1"/>
  <c r="N70" i="2" l="1"/>
  <c r="B6" i="2" s="1"/>
  <c r="R69" i="2"/>
  <c r="R47" i="2"/>
  <c r="R88" i="2"/>
  <c r="C7" i="2"/>
  <c r="J75" i="2"/>
  <c r="S46" i="2"/>
  <c r="S47" i="2" s="1"/>
  <c r="N48" i="2"/>
  <c r="N91" i="2" s="1"/>
  <c r="N92" i="2" s="1"/>
  <c r="P69" i="2"/>
  <c r="P70" i="2" s="1"/>
  <c r="C6" i="2" s="1"/>
  <c r="AJ16" i="1"/>
  <c r="T81" i="1"/>
  <c r="L57" i="1"/>
  <c r="AD57" i="1" s="1"/>
  <c r="AJ57" i="1" s="1"/>
  <c r="N70" i="1"/>
  <c r="AD70" i="1" s="1"/>
  <c r="N76" i="1"/>
  <c r="Y76" i="1" s="1"/>
  <c r="N74" i="1"/>
  <c r="T74" i="1" s="1"/>
  <c r="N72" i="1"/>
  <c r="T72" i="1" s="1"/>
  <c r="K72" i="1"/>
  <c r="C9" i="2" l="1"/>
  <c r="R48" i="2"/>
  <c r="B5" i="2"/>
  <c r="B9" i="2" s="1"/>
  <c r="R70" i="2"/>
  <c r="P91" i="2"/>
  <c r="P92" i="2" s="1"/>
  <c r="AJ74" i="1"/>
  <c r="AJ76" i="1"/>
  <c r="N71" i="1"/>
  <c r="T71" i="1" s="1"/>
  <c r="N68" i="1"/>
  <c r="K79" i="1"/>
  <c r="K81" i="1"/>
  <c r="L58" i="1"/>
  <c r="L48" i="1"/>
  <c r="AD48" i="1" s="1"/>
  <c r="AJ48" i="1" s="1"/>
  <c r="N13" i="1"/>
  <c r="T13" i="1" s="1"/>
  <c r="L55" i="1"/>
  <c r="L56" i="1"/>
  <c r="AD56" i="1" s="1"/>
  <c r="L54" i="1"/>
  <c r="AI54" i="1" s="1"/>
  <c r="AJ54" i="1" s="1"/>
  <c r="L50" i="1"/>
  <c r="AI50" i="1" s="1"/>
  <c r="AJ50" i="1" s="1"/>
  <c r="L51" i="1"/>
  <c r="L52" i="1"/>
  <c r="L49" i="1"/>
  <c r="AI49" i="1" s="1"/>
  <c r="AJ49" i="1" s="1"/>
  <c r="G111" i="1"/>
  <c r="I111" i="1" s="1"/>
  <c r="G112" i="1"/>
  <c r="I112" i="1" s="1"/>
  <c r="G113" i="1"/>
  <c r="I113" i="1" s="1"/>
  <c r="G114" i="1"/>
  <c r="I114" i="1" s="1"/>
  <c r="G110" i="1"/>
  <c r="I110" i="1" s="1"/>
  <c r="K73" i="1"/>
  <c r="G102" i="1"/>
  <c r="I102" i="1" s="1"/>
  <c r="K102" i="1" s="1"/>
  <c r="G103" i="1"/>
  <c r="I103" i="1" s="1"/>
  <c r="K103" i="1" s="1"/>
  <c r="G104" i="1"/>
  <c r="I104" i="1" s="1"/>
  <c r="K104" i="1" s="1"/>
  <c r="G105" i="1"/>
  <c r="I105" i="1" s="1"/>
  <c r="K105" i="1" s="1"/>
  <c r="G106" i="1"/>
  <c r="I106" i="1" s="1"/>
  <c r="K106" i="1" s="1"/>
  <c r="G101" i="1"/>
  <c r="T68" i="1" l="1"/>
  <c r="AJ68" i="1" s="1"/>
  <c r="Y52" i="1"/>
  <c r="AI52" i="1"/>
  <c r="Y58" i="1"/>
  <c r="AI58" i="1"/>
  <c r="Y51" i="1"/>
  <c r="AI51" i="1"/>
  <c r="AJ55" i="1"/>
  <c r="AJ70" i="1"/>
  <c r="I101" i="1"/>
  <c r="K101" i="1" s="1"/>
  <c r="G107" i="1"/>
  <c r="AJ72" i="1"/>
  <c r="AJ71" i="1"/>
  <c r="L83" i="1"/>
  <c r="M64" i="1"/>
  <c r="K64" i="1"/>
  <c r="L41" i="1"/>
  <c r="L42" i="1"/>
  <c r="L40" i="1"/>
  <c r="M32" i="1"/>
  <c r="N14" i="1"/>
  <c r="T14" i="1" s="1"/>
  <c r="M31" i="1"/>
  <c r="AD31" i="1" s="1"/>
  <c r="N30" i="1"/>
  <c r="K21" i="1"/>
  <c r="K20" i="1"/>
  <c r="N18" i="1"/>
  <c r="Y18" i="1" s="1"/>
  <c r="N17" i="1"/>
  <c r="Y17" i="1" s="1"/>
  <c r="M12" i="1"/>
  <c r="N11" i="1"/>
  <c r="K28" i="1"/>
  <c r="AI28" i="1" s="1"/>
  <c r="AJ28" i="1" s="1"/>
  <c r="K27" i="1"/>
  <c r="AI27" i="1" s="1"/>
  <c r="N83" i="1"/>
  <c r="M80" i="1"/>
  <c r="M83" i="1" s="1"/>
  <c r="A11" i="1"/>
  <c r="A12" i="1" s="1"/>
  <c r="A13" i="1" s="1"/>
  <c r="A14" i="1" s="1"/>
  <c r="A15" i="1" s="1"/>
  <c r="A16" i="1" s="1"/>
  <c r="R102" i="2" l="1"/>
  <c r="R104" i="2" s="1"/>
  <c r="AJ51" i="1"/>
  <c r="M37" i="1"/>
  <c r="M85" i="1" s="1"/>
  <c r="T30" i="1"/>
  <c r="AI30" i="1"/>
  <c r="L37" i="1"/>
  <c r="AJ52" i="1"/>
  <c r="N37" i="1"/>
  <c r="N85" i="1" s="1"/>
  <c r="AD11" i="1"/>
  <c r="AD37" i="1" s="1"/>
  <c r="E16" i="2" s="1"/>
  <c r="AJ14" i="1"/>
  <c r="T73" i="1"/>
  <c r="AJ73" i="1" s="1"/>
  <c r="T37" i="1"/>
  <c r="C16" i="2" s="1"/>
  <c r="Y26" i="1"/>
  <c r="AI26" i="1"/>
  <c r="K107" i="1"/>
  <c r="K108" i="1" s="1"/>
  <c r="I107" i="1"/>
  <c r="I108" i="1" s="1"/>
  <c r="A17" i="1"/>
  <c r="A18" i="1" s="1"/>
  <c r="A19" i="1" s="1"/>
  <c r="A20" i="1" s="1"/>
  <c r="A21" i="1" s="1"/>
  <c r="K67" i="1"/>
  <c r="AJ30" i="1" l="1"/>
  <c r="AJ26" i="1"/>
  <c r="J46" i="1"/>
  <c r="L46" i="1" s="1"/>
  <c r="AI46" i="1" s="1"/>
  <c r="AJ46" i="1" s="1"/>
  <c r="J45" i="1"/>
  <c r="L45" i="1" s="1"/>
  <c r="J69" i="1"/>
  <c r="K69" i="1" s="1"/>
  <c r="K83" i="1" s="1"/>
  <c r="J47" i="1"/>
  <c r="L47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Y69" i="1"/>
  <c r="T83" i="1"/>
  <c r="C18" i="2" s="1"/>
  <c r="M90" i="1"/>
  <c r="M89" i="1"/>
  <c r="M88" i="1"/>
  <c r="N90" i="1"/>
  <c r="N89" i="1"/>
  <c r="N88" i="1"/>
  <c r="AE37" i="1"/>
  <c r="AF37" i="1"/>
  <c r="AG37" i="1"/>
  <c r="AH37" i="1"/>
  <c r="Z37" i="1"/>
  <c r="AA37" i="1"/>
  <c r="AB37" i="1"/>
  <c r="AC37" i="1"/>
  <c r="U37" i="1"/>
  <c r="V37" i="1"/>
  <c r="W37" i="1"/>
  <c r="X37" i="1"/>
  <c r="Z64" i="1"/>
  <c r="AA64" i="1"/>
  <c r="AB64" i="1"/>
  <c r="AE64" i="1"/>
  <c r="AF64" i="1"/>
  <c r="AG64" i="1"/>
  <c r="AH64" i="1"/>
  <c r="U64" i="1"/>
  <c r="W64" i="1"/>
  <c r="X64" i="1"/>
  <c r="V45" i="1" l="1"/>
  <c r="AC45" i="1" s="1"/>
  <c r="AI45" i="1" s="1"/>
  <c r="Y45" i="1"/>
  <c r="AI47" i="1"/>
  <c r="Y47" i="1"/>
  <c r="A33" i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L64" i="1"/>
  <c r="L85" i="1" s="1"/>
  <c r="AD69" i="1"/>
  <c r="AD83" i="1" s="1"/>
  <c r="E18" i="2" s="1"/>
  <c r="Y83" i="1"/>
  <c r="D18" i="2" s="1"/>
  <c r="M91" i="1"/>
  <c r="M92" i="1" s="1"/>
  <c r="N91" i="1"/>
  <c r="N92" i="1" s="1"/>
  <c r="T64" i="1"/>
  <c r="C17" i="2" s="1"/>
  <c r="C19" i="2" s="1"/>
  <c r="AC64" i="1" l="1"/>
  <c r="V64" i="1"/>
  <c r="L90" i="1"/>
  <c r="A59" i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J47" i="1"/>
  <c r="L89" i="1"/>
  <c r="Y64" i="1"/>
  <c r="D17" i="2" s="1"/>
  <c r="L88" i="1"/>
  <c r="AJ83" i="1"/>
  <c r="AJ69" i="1"/>
  <c r="T85" i="1"/>
  <c r="T88" i="1" s="1"/>
  <c r="AI64" i="1"/>
  <c r="F17" i="2" s="1"/>
  <c r="AD64" i="1"/>
  <c r="AD85" i="1" l="1"/>
  <c r="AD88" i="1" s="1"/>
  <c r="E17" i="2"/>
  <c r="E19" i="2" s="1"/>
  <c r="A72" i="1"/>
  <c r="A74" i="1" s="1"/>
  <c r="A73" i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J64" i="1"/>
  <c r="L91" i="1"/>
  <c r="L92" i="1" s="1"/>
  <c r="T89" i="1"/>
  <c r="T90" i="1"/>
  <c r="AD89" i="1"/>
  <c r="AD90" i="1"/>
  <c r="T91" i="1" l="1"/>
  <c r="T92" i="1" s="1"/>
  <c r="AD91" i="1"/>
  <c r="AD92" i="1" s="1"/>
  <c r="K25" i="1"/>
  <c r="K24" i="1"/>
  <c r="K37" i="1" s="1"/>
  <c r="AI25" i="1" l="1"/>
  <c r="AI37" i="1" s="1"/>
  <c r="F16" i="2" s="1"/>
  <c r="F19" i="2" s="1"/>
  <c r="Y25" i="1"/>
  <c r="Y37" i="1" s="1"/>
  <c r="K85" i="1"/>
  <c r="M86" i="1" s="1"/>
  <c r="AJ58" i="1"/>
  <c r="AJ56" i="1"/>
  <c r="AJ45" i="1"/>
  <c r="AJ40" i="1"/>
  <c r="AJ31" i="1"/>
  <c r="AJ29" i="1"/>
  <c r="AJ27" i="1"/>
  <c r="AJ21" i="1"/>
  <c r="AJ20" i="1"/>
  <c r="AJ19" i="1"/>
  <c r="AJ18" i="1"/>
  <c r="AJ17" i="1"/>
  <c r="AJ13" i="1"/>
  <c r="AJ11" i="1"/>
  <c r="Y85" i="1" l="1"/>
  <c r="Y90" i="1" s="1"/>
  <c r="D16" i="2"/>
  <c r="D19" i="2" s="1"/>
  <c r="AJ25" i="1"/>
  <c r="K90" i="1"/>
  <c r="K89" i="1"/>
  <c r="K88" i="1"/>
  <c r="AI85" i="1"/>
  <c r="Y89" i="1" l="1"/>
  <c r="Y88" i="1"/>
  <c r="Y91" i="1" s="1"/>
  <c r="Y92" i="1" s="1"/>
  <c r="AI90" i="1"/>
  <c r="AI89" i="1"/>
  <c r="AI88" i="1"/>
  <c r="AJ37" i="1"/>
  <c r="K91" i="1"/>
  <c r="K92" i="1" s="1"/>
  <c r="Y4" i="1"/>
  <c r="AI91" i="1" l="1"/>
  <c r="AI92" i="1" s="1"/>
</calcChain>
</file>

<file path=xl/comments1.xml><?xml version="1.0" encoding="utf-8"?>
<comments xmlns="http://schemas.openxmlformats.org/spreadsheetml/2006/main">
  <authors>
    <author>steves</author>
  </authors>
  <commentList>
    <comment ref="T92" authorId="0" shapeId="0">
      <text>
        <r>
          <rPr>
            <b/>
            <sz val="9"/>
            <color rgb="FF000000"/>
            <rFont val="Tahoma"/>
            <family val="2"/>
          </rPr>
          <t>steves: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<sst xmlns="http://schemas.openxmlformats.org/spreadsheetml/2006/main" count="781" uniqueCount="339">
  <si>
    <t xml:space="preserve">Application Date: </t>
  </si>
  <si>
    <t/>
  </si>
  <si>
    <t>REPLACEMENT RESERVE STUDY</t>
  </si>
  <si>
    <t xml:space="preserve">Sponsor: </t>
  </si>
  <si>
    <t>EUL= Average Estimated Useful Life</t>
  </si>
  <si>
    <t xml:space="preserve">10-Year Inflated Total: </t>
  </si>
  <si>
    <t xml:space="preserve">Project Name: </t>
  </si>
  <si>
    <t>RUL= Remaining Useful Life</t>
  </si>
  <si>
    <t>Inflated Expeditures from Reserves</t>
  </si>
  <si>
    <t>% annual increase</t>
  </si>
  <si>
    <t>Replacement Cost</t>
  </si>
  <si>
    <t>AVG</t>
  </si>
  <si>
    <t># of</t>
  </si>
  <si>
    <t>TOTAL</t>
  </si>
  <si>
    <t>ITEM</t>
  </si>
  <si>
    <t>DESCRIPTION</t>
  </si>
  <si>
    <t>EUL</t>
  </si>
  <si>
    <t>RUL</t>
  </si>
  <si>
    <t>Low</t>
  </si>
  <si>
    <t>High</t>
  </si>
  <si>
    <t>COST</t>
  </si>
  <si>
    <t>Units</t>
  </si>
  <si>
    <t>Years 1 - 20</t>
  </si>
  <si>
    <t>I. COMMON AREAS</t>
  </si>
  <si>
    <t xml:space="preserve">TBD </t>
  </si>
  <si>
    <t>Year:</t>
  </si>
  <si>
    <t xml:space="preserve"> </t>
  </si>
  <si>
    <t>TOTAL SOFT COST</t>
  </si>
  <si>
    <t xml:space="preserve"> GC OH&amp;P (15%)</t>
  </si>
  <si>
    <t xml:space="preserve"> permits ( 4%)</t>
  </si>
  <si>
    <t xml:space="preserve"> Contingiency ( 15%)</t>
  </si>
  <si>
    <t>Front Entry Intercom/Security</t>
  </si>
  <si>
    <t>SFLAFCo</t>
  </si>
  <si>
    <t>Midtown Park Apartments</t>
  </si>
  <si>
    <t xml:space="preserve">Date of PNA: </t>
  </si>
  <si>
    <t xml:space="preserve">Notes:  </t>
  </si>
  <si>
    <t>Parking-Driveway Paving</t>
  </si>
  <si>
    <t>Garage Security Metal gate</t>
  </si>
  <si>
    <t>Concrete Pavement</t>
  </si>
  <si>
    <t>Building Mounted Exterior Lighting</t>
  </si>
  <si>
    <t>Scope</t>
  </si>
  <si>
    <t>Six buildigns x 4 floors plus parking</t>
  </si>
  <si>
    <t>A - Immediate General Building</t>
  </si>
  <si>
    <t>B -Unit Renovations*</t>
  </si>
  <si>
    <t>C -Common Area Renovations*</t>
  </si>
  <si>
    <t xml:space="preserve"> * Universal Design</t>
  </si>
  <si>
    <t>Landscaping- Central Courtyard</t>
  </si>
  <si>
    <t>Four Locations</t>
  </si>
  <si>
    <t>Structural-Foundations</t>
  </si>
  <si>
    <t>50+</t>
  </si>
  <si>
    <t>Waterproofing</t>
  </si>
  <si>
    <t xml:space="preserve">Building Envelope-Concrete </t>
  </si>
  <si>
    <t>Roof- Canopies</t>
  </si>
  <si>
    <t>Canvas/steel frame</t>
  </si>
  <si>
    <t>Unit Entry Doors</t>
  </si>
  <si>
    <t>SC doors w/ Accessible Hardware</t>
  </si>
  <si>
    <t>Unit Sliding Glass Patio Door</t>
  </si>
  <si>
    <t>Unit Window</t>
  </si>
  <si>
    <t>Interior</t>
  </si>
  <si>
    <t>III SYSTEMS</t>
  </si>
  <si>
    <t>Heating- Boiler</t>
  </si>
  <si>
    <t>Hot/Cold Domestic Water Distribution</t>
  </si>
  <si>
    <t>Air Exhaust fan/Duct-Fixed Louver</t>
  </si>
  <si>
    <t>Fire Alarm System</t>
  </si>
  <si>
    <t>Fire Extinguishers</t>
  </si>
  <si>
    <t>Floor -Ceramic Tile</t>
  </si>
  <si>
    <t>Floor- Resilient Sheet/cove</t>
  </si>
  <si>
    <t>Room Doors -SC</t>
  </si>
  <si>
    <t>Kitchen Countertop/Sink</t>
  </si>
  <si>
    <t>Kitchen Cabinets</t>
  </si>
  <si>
    <t>Kitchen Appliances-Electric</t>
  </si>
  <si>
    <t>Bathroom Fixtures/Faucets</t>
  </si>
  <si>
    <t>Bathroom -Toilet</t>
  </si>
  <si>
    <t>Components=5 yr EUL</t>
  </si>
  <si>
    <t>Bathroom Exhaust</t>
  </si>
  <si>
    <t>Kitchen hood/vent</t>
  </si>
  <si>
    <t>TOTAL PROJECT COST (Construction only)</t>
  </si>
  <si>
    <t>Landscaping - General site perimeter</t>
  </si>
  <si>
    <t xml:space="preserve">Landscaping- Central Courtyard Paving </t>
  </si>
  <si>
    <t>Repairs of crack/gaps (Tripping hazard)</t>
  </si>
  <si>
    <t>D- General Repairs</t>
  </si>
  <si>
    <t>Provide accessible control</t>
  </si>
  <si>
    <t>FNMA 4099.F/ Aug 2019</t>
  </si>
  <si>
    <t>Signage</t>
  </si>
  <si>
    <t>Corridor Ventilation</t>
  </si>
  <si>
    <t>Renovate/provide Laundry Room</t>
  </si>
  <si>
    <t>At Garage, 1 /building near elevator access point</t>
  </si>
  <si>
    <t>Not Existing- Future Install-Coord with other improvements potential (N) Electric service upgrade trigger</t>
  </si>
  <si>
    <t>Fire Sprinkler system</t>
  </si>
  <si>
    <t>SF</t>
  </si>
  <si>
    <t>Roof - Building 1</t>
  </si>
  <si>
    <t>Roof - Building 2-6</t>
  </si>
  <si>
    <t>EA</t>
  </si>
  <si>
    <t>Built-up/TPO over tapered insul/drains</t>
  </si>
  <si>
    <t>Built-up/TPO over tapered insul /drains  (5 Buildings)</t>
  </si>
  <si>
    <t>Exterior prep/prime/paint 2x  (5 Buildings)</t>
  </si>
  <si>
    <t>Balconys (90SF/EA) DexOTex walking</t>
  </si>
  <si>
    <t>Six Buildings: Patch/repave sections (Allowance)</t>
  </si>
  <si>
    <t>Perimeter sidewalks-Grind/re-level Tripping hazards (Allowance 20% pavement area)</t>
  </si>
  <si>
    <t>Tree, Bushes, grade (Allowance)</t>
  </si>
  <si>
    <t>Trees, bushes, grass (Allowance)</t>
  </si>
  <si>
    <t>Six- Garage/Lower level- Column Jackets</t>
  </si>
  <si>
    <t xml:space="preserve">EA </t>
  </si>
  <si>
    <t xml:space="preserve">Per Holmes Strucutral Engineer: Scope Stregthen Lateral load path at shear wall/diaphragm (4 corners/building @ all floors/10 Units per Building) </t>
  </si>
  <si>
    <t>Directional/Units/ Area/ ADA compliant (Allowance)</t>
  </si>
  <si>
    <t>Six buildings</t>
  </si>
  <si>
    <t>Six Buildings x 4/EA (E ) circuits</t>
  </si>
  <si>
    <t>Structural Framing **</t>
  </si>
  <si>
    <t>II. DWELLING UNITS  ** (Exclude units renovated due to structural)</t>
  </si>
  <si>
    <t>Main Living (Alum/Fiber 6'-0: x 6'-8")</t>
  </si>
  <si>
    <t>Disabled Parking</t>
  </si>
  <si>
    <t>Designated Street ADA Drop-off w/ curb cut/stipping/signage</t>
  </si>
  <si>
    <t>Bedrooms &amp; Liv rms (Alum/Fiber) 4/unit</t>
  </si>
  <si>
    <t>Corridor supply air -roof mounted fan w/ MERV 13 filter w/chase to 4 levels</t>
  </si>
  <si>
    <t>Sanitary Waste/Vent -testing</t>
  </si>
  <si>
    <t>AREA SF</t>
  </si>
  <si>
    <t>Building 1</t>
  </si>
  <si>
    <t>Building 2</t>
  </si>
  <si>
    <t>Building 3</t>
  </si>
  <si>
    <t>Building4</t>
  </si>
  <si>
    <t>Building 5</t>
  </si>
  <si>
    <t>Building 6</t>
  </si>
  <si>
    <t>L</t>
  </si>
  <si>
    <t>W</t>
  </si>
  <si>
    <t>Area/Floor</t>
  </si>
  <si>
    <t>Floors</t>
  </si>
  <si>
    <t>GSF</t>
  </si>
  <si>
    <t>Corridor</t>
  </si>
  <si>
    <t>Resid SF</t>
  </si>
  <si>
    <t>Six Garage Locations (Code)</t>
  </si>
  <si>
    <t>N/A</t>
  </si>
  <si>
    <t>Unit Type A</t>
  </si>
  <si>
    <t>Unit Type B</t>
  </si>
  <si>
    <t>Unit Type A -3BR</t>
  </si>
  <si>
    <t>Unit Type C</t>
  </si>
  <si>
    <t>Unit Type D</t>
  </si>
  <si>
    <t>Floor -LVT</t>
  </si>
  <si>
    <t>LR/BRs assume 75% SF/unit</t>
  </si>
  <si>
    <t>Bathrooms assume 5% SF/unit</t>
  </si>
  <si>
    <t>Kitchens assume 10% SF/unit</t>
  </si>
  <si>
    <t>Plywood casework/Adaptable config / 8LF wall&amp;base</t>
  </si>
  <si>
    <t>Solid Surface/SS sink ADA /6LF</t>
  </si>
  <si>
    <t>Front mount controls Range/Refrig</t>
  </si>
  <si>
    <t>Wall/Ceiling Paint/Unit</t>
  </si>
  <si>
    <t>Sink/Shower/faucets @ E locations Bathrm</t>
  </si>
  <si>
    <t>Replace-E ducts</t>
  </si>
  <si>
    <t>Elevators/Deck Access ramps (Floors 1 and 3)</t>
  </si>
  <si>
    <t>Ground Floor Conc Access Ramp</t>
  </si>
  <si>
    <t>Replace accessible -lever/hinge hardware-retain E doors*  Allowance (4 doors/unit)</t>
  </si>
  <si>
    <t>Prep/Prime/Paint 2 coats &amp; trim</t>
  </si>
  <si>
    <t>New -non existing</t>
  </si>
  <si>
    <t>LF</t>
  </si>
  <si>
    <r>
      <t xml:space="preserve">Provide </t>
    </r>
    <r>
      <rPr>
        <b/>
        <sz val="10"/>
        <color theme="1"/>
        <rFont val="Arial"/>
        <family val="2"/>
      </rPr>
      <t>inspection/tes</t>
    </r>
    <r>
      <rPr>
        <sz val="10"/>
        <color theme="1"/>
        <rFont val="Arial"/>
        <family val="2"/>
      </rPr>
      <t>t of system -Allowance. //D.General Repairs Allowance of $ 30K/building for anticipated repair/replacement TBD after inspection</t>
    </r>
  </si>
  <si>
    <t>Electric-Circuit/panels/Distribution</t>
  </si>
  <si>
    <t xml:space="preserve">Electric-Relocate (E ) meters </t>
  </si>
  <si>
    <t>1st floor hallway meter banks protrude into corridor</t>
  </si>
  <si>
    <t>New 600A 3PH -PG&amp;E install/fees IF triggered by other improvements</t>
  </si>
  <si>
    <t xml:space="preserve">Electrical New Main Service  </t>
  </si>
  <si>
    <t xml:space="preserve"> Source: Cornelly sample proposal</t>
  </si>
  <si>
    <t xml:space="preserve">New Main service + full thrpoughout buildings </t>
  </si>
  <si>
    <t>Unit line distribution outlets/lights  -Allowance/unit</t>
  </si>
  <si>
    <t>Retrofit as part of structural rehab /SF</t>
  </si>
  <si>
    <t>Maintain until system upgraded</t>
  </si>
  <si>
    <t>Domestic HWH unit-gas</t>
  </si>
  <si>
    <t xml:space="preserve">Water-Hydronic system plumbing/riser replacement </t>
  </si>
  <si>
    <t>Include demo/wall repair/cover</t>
  </si>
  <si>
    <t>Hydronic baseboard/wall panel units and thermostat</t>
  </si>
  <si>
    <t>Remove/replace -assume 4/unit</t>
  </si>
  <si>
    <t>Not included</t>
  </si>
  <si>
    <t>Future Heat pump/electric</t>
  </si>
  <si>
    <t>Solar PV collectors/</t>
  </si>
  <si>
    <t>requires exterior condensor installation/pads</t>
  </si>
  <si>
    <t>Roof support/electrical</t>
  </si>
  <si>
    <t>Wall spaul/patch/repair  (Allowance 200SF/Bldg)</t>
  </si>
  <si>
    <t>Building Entry Exterior Doors-steel (2/floor)</t>
  </si>
  <si>
    <t>Building 1-Exterior Paint (Incl conc repairs)</t>
  </si>
  <si>
    <t>Building 2-6Exterior Paint -Incl conc repairs</t>
  </si>
  <si>
    <t>Six building- central Panel - Installation in progress</t>
  </si>
  <si>
    <t xml:space="preserve"> Located at middle corridors- assume active (Maintenance)</t>
  </si>
  <si>
    <t xml:space="preserve">  </t>
  </si>
  <si>
    <t>B - Universal Design</t>
  </si>
  <si>
    <t>C - Common Space + Elevators</t>
  </si>
  <si>
    <t>Year 5</t>
  </si>
  <si>
    <t>Year 10</t>
  </si>
  <si>
    <t>Year 15</t>
  </si>
  <si>
    <t>Year 20</t>
  </si>
  <si>
    <t xml:space="preserve">Total </t>
  </si>
  <si>
    <t>Total (A + B = C)</t>
  </si>
  <si>
    <t>A - System upgrades</t>
  </si>
  <si>
    <t>Rehab Costs</t>
  </si>
  <si>
    <t>Replacement Reserve Costs</t>
  </si>
  <si>
    <t>Buildings 2-6 (per building, typical)</t>
  </si>
  <si>
    <t>* Note, rehab costs do not include relocation costs within the complex</t>
  </si>
  <si>
    <t>MIDTOWN PARK APARTMENTS - PRELIMINARY COST ESTIMATES - REHAB + RESERVES</t>
  </si>
  <si>
    <t>C - Common Space + New Elevators</t>
  </si>
  <si>
    <t>Building 1 - Immediate costs</t>
  </si>
  <si>
    <t>8 vs 4</t>
  </si>
  <si>
    <t>Re-Calc Notes</t>
  </si>
  <si>
    <t>10 units/Bldg</t>
  </si>
  <si>
    <t>ASSUME HIGHer by .33</t>
  </si>
  <si>
    <t xml:space="preserve">Bldg 1 .33 larger  </t>
  </si>
  <si>
    <t>.33 larger</t>
  </si>
  <si>
    <t>SC doors w/ Accessible Hardware (not countd in seismic unit retrofits)</t>
  </si>
  <si>
    <t>C. COMMON AREAS</t>
  </si>
  <si>
    <t>B.Universal Design</t>
  </si>
  <si>
    <t>Split/4 sides of site</t>
  </si>
  <si>
    <t>1 @ NE Geary St</t>
  </si>
  <si>
    <t>Res SF: 37724</t>
  </si>
  <si>
    <t>Packing Assistance</t>
  </si>
  <si>
    <t>Storage (for FF&amp;E not fitting) -should be OK if 1:1 Unit relocation size</t>
  </si>
  <si>
    <t>Movers &amp; Boxes Assume 2 BR typ ( $ 1,200 + $300)</t>
  </si>
  <si>
    <t>Relocation unit clean up</t>
  </si>
  <si>
    <t>x2 Moves</t>
  </si>
  <si>
    <t>Cable/Phone/Internet transfer fees</t>
  </si>
  <si>
    <t>Reasonable accomodation (grab bars, etc) Relocation unit only</t>
  </si>
  <si>
    <t>* TENANT RELOCATION</t>
  </si>
  <si>
    <t>SUB-TOTAL/UNIT:</t>
  </si>
  <si>
    <t>Relocation Consultant: Assume 24Hrs (12 hr/move) consultation/Unit @ $ 100/Hr</t>
  </si>
  <si>
    <t>GC OH&amp;P (15%)</t>
  </si>
  <si>
    <t>Permits (4%)</t>
  </si>
  <si>
    <t>Contingiency (15%)</t>
  </si>
  <si>
    <t>TOTAL SOFT COST:</t>
  </si>
  <si>
    <t>A. SYSTEMS</t>
  </si>
  <si>
    <t>TOTAL/Unit</t>
  </si>
  <si>
    <t>NOTE: Assume potential retrofit of Type 'E' Single floor/1BR units to ADA compliant 1 BR/Studio unit= 4 units total at 1st &amp; 2nd levels. Bathroom &amp; Kitchen reconfig, full door clearances,hardware.  Remaining Type A1 double floor/ 3BR units problematic for full ADA compliance; insufficent space within (E) unit perimeter</t>
  </si>
  <si>
    <r>
      <t xml:space="preserve">NOTE: Assume potential retrofit of Type 'E' Single floor/1BR units to ADA compliant 1 BR/Studio unit= </t>
    </r>
    <r>
      <rPr>
        <b/>
        <sz val="10"/>
        <color theme="1"/>
        <rFont val="Arial"/>
        <family val="2"/>
      </rPr>
      <t>4 units total at 1st &amp; 2nd levels</t>
    </r>
    <r>
      <rPr>
        <sz val="10"/>
        <color theme="1"/>
        <rFont val="Arial"/>
        <family val="2"/>
      </rPr>
      <t>. Bathroom &amp; Kitchen reconfig, full door clearances,hardware.  Remaining Type A1 double floor/ 3BR units problematic for full ADA compliance; insufficent space within (E) unit perimeter</t>
    </r>
  </si>
  <si>
    <t>Unit improvements**</t>
  </si>
  <si>
    <r>
      <t xml:space="preserve">Per Holmes Strucutral Engineer: Scope Stregthen Lateral load path at shear wall/diaphragm (4 corners/building @ all floors/10 Units per Building) </t>
    </r>
    <r>
      <rPr>
        <b/>
        <sz val="10"/>
        <color theme="1"/>
        <rFont val="Arial"/>
        <family val="2"/>
      </rPr>
      <t xml:space="preserve">NOTE: Assume potential ADA retrofit of affected units-see below. </t>
    </r>
  </si>
  <si>
    <t>30+</t>
  </si>
  <si>
    <t>4 unitss/Building</t>
  </si>
  <si>
    <t>Sub-Total:</t>
  </si>
  <si>
    <t>Roof-Canopies at units</t>
  </si>
  <si>
    <t>Int Floor - LVT @ LR/BR</t>
  </si>
  <si>
    <t>calc</t>
  </si>
  <si>
    <t>SF (.75/unit)</t>
  </si>
  <si>
    <t>Int Floor - Cer Tile @ bathrooms</t>
  </si>
  <si>
    <t>Int Floor - Relsi Sheet @ kitchens</t>
  </si>
  <si>
    <t>Sub-total:</t>
  </si>
  <si>
    <t>New -non existing-Ground floor access Ramps</t>
  </si>
  <si>
    <t>Conversion Quantity = Bldg 1</t>
  </si>
  <si>
    <r>
      <t>Exterior prep/prime/paint 2x B</t>
    </r>
    <r>
      <rPr>
        <b/>
        <sz val="10"/>
        <color theme="1"/>
        <rFont val="Arial"/>
        <family val="2"/>
      </rPr>
      <t>ldg 1</t>
    </r>
  </si>
  <si>
    <t>Maintain</t>
  </si>
  <si>
    <t>Test-Evaluate</t>
  </si>
  <si>
    <t>Completed MOHCD 2024</t>
  </si>
  <si>
    <t>140 units</t>
  </si>
  <si>
    <t>SF for 30 Units</t>
  </si>
  <si>
    <t>SF 3o Units</t>
  </si>
  <si>
    <t>Sub-A+B+C</t>
  </si>
  <si>
    <t>SF (.05/unit)</t>
  </si>
  <si>
    <t>SF (.1/unit)</t>
  </si>
  <si>
    <t xml:space="preserve">   (per unit)</t>
  </si>
  <si>
    <t>TOTAL CONSTRUCTION (Hard Cost)</t>
  </si>
  <si>
    <t>Relocation Cost allocation</t>
  </si>
  <si>
    <t>Requires phasing of relocations -See Sheet 2 Tenant Relocation Calc</t>
  </si>
  <si>
    <t>TOTAL FULL SITE  6 BUILDINGS -BASE COST</t>
  </si>
  <si>
    <t xml:space="preserve">A - Immediate System Upgrades </t>
  </si>
  <si>
    <t>balance renovation costs</t>
  </si>
  <si>
    <t>cost/unit</t>
  </si>
  <si>
    <t>Bldg1  A scope</t>
  </si>
  <si>
    <r>
      <rPr>
        <b/>
        <sz val="10"/>
        <color theme="1"/>
        <rFont val="Arial"/>
        <family val="2"/>
      </rPr>
      <t>Notes:</t>
    </r>
    <r>
      <rPr>
        <sz val="10"/>
        <color theme="1"/>
        <rFont val="Arial"/>
        <family val="2"/>
      </rPr>
      <t xml:space="preserve"> i.) Assume Column D- General Repairs as scope not under immediate priority- assume deferred to 5 years for funding and implimentation ii.) Replacement Reserves as standard Costs for EUL for work completed in year 1 under categories A-B-C </t>
    </r>
  </si>
  <si>
    <t xml:space="preserve"> -</t>
  </si>
  <si>
    <t>LINE</t>
  </si>
  <si>
    <t>Fixtures</t>
  </si>
  <si>
    <t>Unit line distribution outlets/lights  -Allowance/unit as part of Unit retrofits</t>
  </si>
  <si>
    <t>20-Year inflated Total $</t>
  </si>
  <si>
    <t>Exterior prep/prime/paint 2x  (1 Building)</t>
  </si>
  <si>
    <t>A-B-C</t>
  </si>
  <si>
    <t>SUB-TOTAL A -Hard Cost</t>
  </si>
  <si>
    <t>Building 1 ONLY A</t>
  </si>
  <si>
    <t>Buildings 2-6   A</t>
  </si>
  <si>
    <t>Building 1 Only -B.</t>
  </si>
  <si>
    <t>Building 2-6  - B</t>
  </si>
  <si>
    <t>Building 2-6   -C</t>
  </si>
  <si>
    <t>Building 1 Only  -C</t>
  </si>
  <si>
    <t>SUB-TOTAL A /Hard+soft</t>
  </si>
  <si>
    <t>SUB-TOTAL B  hard Cost</t>
  </si>
  <si>
    <t>Sub-Total B  hard +soft Cost</t>
  </si>
  <si>
    <t>SUB-TOTAL C  Hard Cost</t>
  </si>
  <si>
    <t>SUB-TOTAL C  Hard + Soft Cost</t>
  </si>
  <si>
    <t>TOTAL BUILDING 1 Construction A-B-C  Hard+soft Costs</t>
  </si>
  <si>
    <t>Total By Scope A</t>
  </si>
  <si>
    <t xml:space="preserve">Landscaping- Central Courtyard, </t>
  </si>
  <si>
    <t>Landscaping-Resident Benches/seating</t>
  </si>
  <si>
    <t>Exterior Mailboxes-relocate to main Building Entries</t>
  </si>
  <si>
    <t>New at courtyard platform perimeter</t>
  </si>
  <si>
    <t>Remove/relocate mailboxes to enclosed area below stairs at main building entryways-ground floor</t>
  </si>
  <si>
    <t>Plumbing Boiler replacement</t>
  </si>
  <si>
    <t>SUB-TOTAL: I COMMON AREAS</t>
  </si>
  <si>
    <t>SUB-TOTAL: II DWELLING UNITS</t>
  </si>
  <si>
    <t>SUB-TOTAL: III  SYSTEMS</t>
  </si>
  <si>
    <t xml:space="preserve"> SUB-TOTAL: I COMMON AREAS</t>
  </si>
  <si>
    <t xml:space="preserve"> SUB-TOTAL: II DWELLING UNITS</t>
  </si>
  <si>
    <t>TOTAL RESERVE (HARD COST)</t>
  </si>
  <si>
    <t>GRAND TOTAL-ANNUAL RESERVE ( Hard &amp; Soft Cost)</t>
  </si>
  <si>
    <t xml:space="preserve">AREA CALCS </t>
  </si>
  <si>
    <t>Unit Type E</t>
  </si>
  <si>
    <t>Cost/Unit</t>
  </si>
  <si>
    <t>#</t>
  </si>
  <si>
    <t>Total Units</t>
  </si>
  <si>
    <t xml:space="preserve">Bldg 1 </t>
  </si>
  <si>
    <t>Bldgs 2-6</t>
  </si>
  <si>
    <t>Bldg 1</t>
  </si>
  <si>
    <t xml:space="preserve"> ** Units counted as either part o seismic/structural rehab or remaining units</t>
  </si>
  <si>
    <t>Unit Entry Doors**</t>
  </si>
  <si>
    <t>Unit Sliding Glass Patio Door**</t>
  </si>
  <si>
    <t xml:space="preserve"> 10% reserve /loan fund availible for resident to install own-as needed</t>
  </si>
  <si>
    <t>Annual reserves based on 20-year need **</t>
  </si>
  <si>
    <t xml:space="preserve"> ** Note: Does not include soft cost %</t>
  </si>
  <si>
    <t>BUILDING</t>
  </si>
  <si>
    <t>PRIORITY</t>
  </si>
  <si>
    <r>
      <rPr>
        <b/>
        <sz val="10"/>
        <color rgb="FF000000"/>
        <rFont val="Arial"/>
        <family val="2"/>
      </rPr>
      <t>A</t>
    </r>
    <r>
      <rPr>
        <sz val="10"/>
        <color rgb="FF000000"/>
        <rFont val="Arial"/>
        <family val="2"/>
      </rPr>
      <t xml:space="preserve"> - Immediate General Building</t>
    </r>
  </si>
  <si>
    <t>TOTAL/BUILDING</t>
  </si>
  <si>
    <t>1 - 1415 Scott</t>
  </si>
  <si>
    <t>2 - 2040 O'Farrell</t>
  </si>
  <si>
    <t>3 - 2060 O'Farrell</t>
  </si>
  <si>
    <t>4 - 1450 Divisadero</t>
  </si>
  <si>
    <t>5 - 2141 Geary</t>
  </si>
  <si>
    <t>6 - 2121 Geary</t>
  </si>
  <si>
    <t>TOTAL SITE</t>
  </si>
  <si>
    <r>
      <rPr>
        <b/>
        <sz val="10"/>
        <color rgb="FF000000"/>
        <rFont val="Arial"/>
        <family val="2"/>
      </rPr>
      <t>B</t>
    </r>
    <r>
      <rPr>
        <sz val="10"/>
        <color rgb="FF000000"/>
        <rFont val="Arial"/>
      </rPr>
      <t xml:space="preserve"> - Unit Renovation           </t>
    </r>
  </si>
  <si>
    <r>
      <rPr>
        <b/>
        <sz val="10"/>
        <color rgb="FF000000"/>
        <rFont val="Arial"/>
        <family val="2"/>
      </rPr>
      <t>C</t>
    </r>
    <r>
      <rPr>
        <sz val="10"/>
        <color rgb="FF000000"/>
        <rFont val="Arial"/>
      </rPr>
      <t xml:space="preserve"> - Common Space Renovation</t>
    </r>
  </si>
  <si>
    <t>Building 4</t>
  </si>
  <si>
    <t>Building</t>
  </si>
  <si>
    <t>Cost</t>
  </si>
  <si>
    <t xml:space="preserve">  * Relocation costs: 110 units bldgs 2-6</t>
  </si>
  <si>
    <r>
      <t>Sub-total Soft Cost</t>
    </r>
    <r>
      <rPr>
        <b/>
        <sz val="14"/>
        <color rgb="FF000000"/>
        <rFont val="Calibri"/>
        <family val="2"/>
      </rPr>
      <t xml:space="preserve"> %</t>
    </r>
  </si>
  <si>
    <t>Optional: Reserve Fund: Unit accessibility-Stair lift/eelvator/ mult turns</t>
  </si>
  <si>
    <t>Optional: Reserve Fund: Unit accessibility-Walk in tub/shower</t>
  </si>
  <si>
    <t>Option N/A</t>
  </si>
  <si>
    <t>Allowance</t>
  </si>
  <si>
    <r>
      <t xml:space="preserve"> </t>
    </r>
    <r>
      <rPr>
        <b/>
        <sz val="12"/>
        <color rgb="FF000000"/>
        <rFont val="Calibri"/>
        <family val="2"/>
      </rPr>
      <t>GRAND TOTAL Full Site Hard + Soft Costs</t>
    </r>
  </si>
  <si>
    <t>Assume 10% ( 14 Unit ) reserve/loan fund availible for resident to install on own-as needed ($ 252,000)</t>
  </si>
  <si>
    <t>Assume 10% ( 14 Unit ) reserve/loan fund availible for resident to install on own-as needed ($ 84,000)</t>
  </si>
  <si>
    <r>
      <rPr>
        <b/>
        <sz val="10"/>
        <color theme="1"/>
        <rFont val="Arial"/>
        <family val="2"/>
      </rPr>
      <t>Reserve Fund-Option</t>
    </r>
    <r>
      <rPr>
        <sz val="10"/>
        <color theme="1"/>
        <rFont val="Arial"/>
        <family val="2"/>
      </rPr>
      <t>: Unit Accessibility-Stair lift/elevator. Mult turn stiar</t>
    </r>
  </si>
  <si>
    <r>
      <rPr>
        <b/>
        <sz val="10"/>
        <color theme="1"/>
        <rFont val="Arial"/>
        <family val="2"/>
      </rPr>
      <t>Reserve Fund -Option</t>
    </r>
    <r>
      <rPr>
        <sz val="10"/>
        <color theme="1"/>
        <rFont val="Arial"/>
        <family val="2"/>
      </rPr>
      <t>: Unit Accessibility Walk-in Tub/Shower</t>
    </r>
  </si>
  <si>
    <r>
      <rPr>
        <b/>
        <sz val="12"/>
        <color rgb="FF000000"/>
        <rFont val="Calibri"/>
        <family val="2"/>
      </rPr>
      <t>Deferred</t>
    </r>
    <r>
      <rPr>
        <sz val="12"/>
        <color rgb="FF000000"/>
        <rFont val="Calibri"/>
        <family val="2"/>
      </rPr>
      <t xml:space="preserve">  Future rehab/Elect upgrade</t>
    </r>
  </si>
  <si>
    <r>
      <rPr>
        <b/>
        <sz val="12"/>
        <color rgb="FF000000"/>
        <rFont val="Calibri"/>
        <family val="2"/>
      </rPr>
      <t>Deferred</t>
    </r>
    <r>
      <rPr>
        <sz val="12"/>
        <color rgb="FF000000"/>
        <rFont val="Calibri"/>
        <family val="2"/>
      </rPr>
      <t xml:space="preserve"> Future rehab/Elect upgrade</t>
    </r>
  </si>
  <si>
    <r>
      <rPr>
        <b/>
        <sz val="12"/>
        <color rgb="FF000000"/>
        <rFont val="Calibri"/>
        <family val="2"/>
      </rPr>
      <t xml:space="preserve">ADD  </t>
    </r>
    <r>
      <rPr>
        <sz val="12"/>
        <color rgb="FF000000"/>
        <rFont val="Calibri"/>
        <family val="2"/>
      </rPr>
      <t>Future rehab/Elect upgrade</t>
    </r>
  </si>
  <si>
    <t>D- General Repairs (Future Replacement Reserves)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</si>
</sst>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\$* #,##0_);_(\$* \(#,##0\);_(\$* \-??_);_(@_)"/>
    <numFmt numFmtId="165" formatCode="_(* #,##0_);_(* \(#,##0\);_(* \-??_);_(@_)"/>
    <numFmt numFmtId="166" formatCode="_(&quot;$&quot;* #,##0_);_(&quot;$&quot;* \(#,##0\);_(&quot;$&quot;* &quot;-&quot;??_);_(@_)"/>
    <numFmt numFmtId="167" formatCode="0.0%"/>
    <numFmt numFmtId="168" formatCode="0_);\(0\)"/>
    <numFmt numFmtId="169" formatCode="_(* #,##0.0_);_(* \(#,##0.0\);_(* \-??_);_(@_)"/>
    <numFmt numFmtId="170" formatCode="\$#,##0_);&quot;($&quot;#,##0\)"/>
    <numFmt numFmtId="171" formatCode="&quot;$&quot;#,##0"/>
    <numFmt numFmtId="172" formatCode="&quot;$&quot;#,##0.00"/>
    <numFmt numFmtId="173" formatCode="&quot;$&quot;#,##0.000"/>
  </numFmts>
  <fonts count="59" x14ac:knownFonts="1">
    <font>
      <sz val="10"/>
      <color rgb="FF000000"/>
      <name val="Arial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</font>
    <font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8"/>
      <color theme="1"/>
      <name val="Arial"/>
      <family val="2"/>
    </font>
    <font>
      <b/>
      <sz val="18"/>
      <color rgb="FF000000"/>
      <name val="Arial"/>
      <family val="2"/>
    </font>
    <font>
      <sz val="11"/>
      <color theme="4" tint="-0.249977111117893"/>
      <name val="Calibri"/>
      <family val="2"/>
    </font>
    <font>
      <u/>
      <sz val="11"/>
      <color theme="1"/>
      <name val="Calibri"/>
      <family val="2"/>
    </font>
    <font>
      <u/>
      <sz val="10"/>
      <color rgb="FF00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4"/>
      <name val="Arial"/>
      <family val="2"/>
    </font>
    <font>
      <sz val="9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8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FF0000"/>
      <name val="Calibri"/>
      <family val="2"/>
    </font>
    <font>
      <b/>
      <sz val="16"/>
      <color rgb="FFFF0000"/>
      <name val="Calibri"/>
      <family val="2"/>
    </font>
    <font>
      <b/>
      <sz val="16"/>
      <color rgb="FFFF0000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Arial"/>
      <family val="2"/>
    </font>
    <font>
      <b/>
      <sz val="14"/>
      <color theme="4" tint="-0.249977111117893"/>
      <name val="Calibri"/>
      <family val="2"/>
    </font>
    <font>
      <sz val="16"/>
      <color rgb="FF000000"/>
      <name val="Calibri"/>
      <family val="2"/>
    </font>
    <font>
      <sz val="12"/>
      <color rgb="FF0070C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E3E3E3"/>
        <bgColor rgb="FFE3E3E3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rgb="FFFFFF99"/>
      </patternFill>
    </fill>
    <fill>
      <patternFill patternType="solid">
        <fgColor theme="9" tint="0.79998168889431442"/>
        <bgColor rgb="FFE3E3E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98">
    <xf numFmtId="0" fontId="0" fillId="0" borderId="0" xfId="0"/>
    <xf numFmtId="14" fontId="1" fillId="0" borderId="0" xfId="0" applyNumberFormat="1" applyFont="1" applyAlignment="1">
      <alignment horizontal="left"/>
    </xf>
    <xf numFmtId="1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66" fontId="8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6" fontId="4" fillId="0" borderId="0" xfId="0" applyNumberFormat="1" applyFont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center"/>
    </xf>
    <xf numFmtId="0" fontId="4" fillId="0" borderId="4" xfId="0" applyFont="1" applyBorder="1"/>
    <xf numFmtId="0" fontId="5" fillId="0" borderId="4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166" fontId="10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left"/>
    </xf>
    <xf numFmtId="9" fontId="3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67" fontId="1" fillId="0" borderId="0" xfId="0" applyNumberFormat="1" applyFont="1"/>
    <xf numFmtId="0" fontId="5" fillId="0" borderId="2" xfId="0" applyFont="1" applyBorder="1" applyAlignment="1">
      <alignment wrapText="1"/>
    </xf>
    <xf numFmtId="0" fontId="5" fillId="0" borderId="2" xfId="0" applyFont="1" applyBorder="1"/>
    <xf numFmtId="170" fontId="5" fillId="0" borderId="2" xfId="0" applyNumberFormat="1" applyFont="1" applyBorder="1"/>
    <xf numFmtId="164" fontId="5" fillId="0" borderId="2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170" fontId="5" fillId="0" borderId="5" xfId="0" applyNumberFormat="1" applyFont="1" applyBorder="1"/>
    <xf numFmtId="164" fontId="5" fillId="0" borderId="5" xfId="0" applyNumberFormat="1" applyFont="1" applyBorder="1" applyAlignment="1">
      <alignment horizontal="center"/>
    </xf>
    <xf numFmtId="0" fontId="5" fillId="0" borderId="6" xfId="0" applyFont="1" applyBorder="1"/>
    <xf numFmtId="0" fontId="18" fillId="0" borderId="0" xfId="0" applyFont="1" applyAlignment="1">
      <alignment horizontal="center"/>
    </xf>
    <xf numFmtId="0" fontId="15" fillId="0" borderId="2" xfId="0" applyFont="1" applyBorder="1" applyAlignment="1">
      <alignment wrapText="1"/>
    </xf>
    <xf numFmtId="0" fontId="18" fillId="0" borderId="0" xfId="0" applyFont="1" applyAlignment="1">
      <alignment horizontal="right"/>
    </xf>
    <xf numFmtId="37" fontId="5" fillId="0" borderId="7" xfId="0" applyNumberFormat="1" applyFont="1" applyBorder="1" applyAlignment="1">
      <alignment horizontal="center"/>
    </xf>
    <xf numFmtId="0" fontId="5" fillId="0" borderId="11" xfId="0" applyFont="1" applyBorder="1"/>
    <xf numFmtId="170" fontId="5" fillId="0" borderId="11" xfId="0" applyNumberFormat="1" applyFont="1" applyBorder="1"/>
    <xf numFmtId="164" fontId="5" fillId="0" borderId="11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 wrapText="1"/>
    </xf>
    <xf numFmtId="164" fontId="7" fillId="0" borderId="16" xfId="0" applyNumberFormat="1" applyFont="1" applyBorder="1" applyAlignment="1">
      <alignment horizontal="center"/>
    </xf>
    <xf numFmtId="49" fontId="5" fillId="0" borderId="2" xfId="0" applyNumberFormat="1" applyFont="1" applyBorder="1"/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4" fontId="7" fillId="0" borderId="18" xfId="0" applyNumberFormat="1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166" fontId="4" fillId="0" borderId="2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9" xfId="0" applyFont="1" applyBorder="1"/>
    <xf numFmtId="164" fontId="7" fillId="0" borderId="9" xfId="0" applyNumberFormat="1" applyFont="1" applyBorder="1" applyAlignment="1">
      <alignment horizontal="center"/>
    </xf>
    <xf numFmtId="164" fontId="7" fillId="0" borderId="22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 wrapText="1"/>
    </xf>
    <xf numFmtId="0" fontId="4" fillId="0" borderId="11" xfId="0" applyFont="1" applyBorder="1" applyAlignment="1">
      <alignment horizontal="right" wrapText="1"/>
    </xf>
    <xf numFmtId="14" fontId="24" fillId="2" borderId="1" xfId="0" applyNumberFormat="1" applyFont="1" applyFill="1" applyBorder="1"/>
    <xf numFmtId="0" fontId="5" fillId="0" borderId="2" xfId="0" applyFont="1" applyBorder="1" applyAlignment="1">
      <alignment horizontal="left" wrapText="1"/>
    </xf>
    <xf numFmtId="164" fontId="7" fillId="0" borderId="26" xfId="0" applyNumberFormat="1" applyFont="1" applyBorder="1" applyAlignment="1">
      <alignment horizontal="center"/>
    </xf>
    <xf numFmtId="0" fontId="17" fillId="0" borderId="0" xfId="0" applyFont="1" applyAlignment="1">
      <alignment wrapText="1"/>
    </xf>
    <xf numFmtId="164" fontId="10" fillId="0" borderId="1" xfId="0" applyNumberFormat="1" applyFont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164" fontId="4" fillId="0" borderId="29" xfId="0" applyNumberFormat="1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0" fontId="25" fillId="0" borderId="4" xfId="0" applyFont="1" applyBorder="1"/>
    <xf numFmtId="0" fontId="5" fillId="0" borderId="8" xfId="0" applyFont="1" applyBorder="1" applyAlignment="1">
      <alignment wrapText="1"/>
    </xf>
    <xf numFmtId="0" fontId="4" fillId="0" borderId="6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5" fillId="0" borderId="22" xfId="0" applyFont="1" applyBorder="1"/>
    <xf numFmtId="170" fontId="5" fillId="0" borderId="22" xfId="0" applyNumberFormat="1" applyFont="1" applyBorder="1"/>
    <xf numFmtId="164" fontId="5" fillId="0" borderId="22" xfId="0" applyNumberFormat="1" applyFont="1" applyBorder="1" applyAlignment="1">
      <alignment horizontal="center"/>
    </xf>
    <xf numFmtId="164" fontId="16" fillId="0" borderId="22" xfId="0" applyNumberFormat="1" applyFont="1" applyBorder="1" applyAlignment="1">
      <alignment horizontal="center"/>
    </xf>
    <xf numFmtId="0" fontId="22" fillId="0" borderId="38" xfId="0" applyFont="1" applyBorder="1"/>
    <xf numFmtId="171" fontId="11" fillId="0" borderId="1" xfId="0" applyNumberFormat="1" applyFont="1" applyBorder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167" fontId="1" fillId="0" borderId="1" xfId="0" applyNumberFormat="1" applyFont="1" applyBorder="1"/>
    <xf numFmtId="171" fontId="23" fillId="0" borderId="1" xfId="0" applyNumberFormat="1" applyFont="1" applyBorder="1" applyAlignment="1">
      <alignment horizontal="right"/>
    </xf>
    <xf numFmtId="164" fontId="16" fillId="0" borderId="34" xfId="0" applyNumberFormat="1" applyFont="1" applyBorder="1" applyAlignment="1">
      <alignment horizontal="center"/>
    </xf>
    <xf numFmtId="0" fontId="5" fillId="0" borderId="39" xfId="0" applyFont="1" applyBorder="1"/>
    <xf numFmtId="0" fontId="28" fillId="0" borderId="0" xfId="0" applyFont="1" applyAlignment="1">
      <alignment horizontal="center"/>
    </xf>
    <xf numFmtId="164" fontId="4" fillId="0" borderId="42" xfId="0" applyNumberFormat="1" applyFont="1" applyBorder="1" applyAlignment="1">
      <alignment horizontal="center"/>
    </xf>
    <xf numFmtId="164" fontId="4" fillId="0" borderId="44" xfId="0" applyNumberFormat="1" applyFont="1" applyBorder="1" applyAlignment="1">
      <alignment horizontal="center"/>
    </xf>
    <xf numFmtId="164" fontId="4" fillId="0" borderId="45" xfId="0" applyNumberFormat="1" applyFont="1" applyBorder="1" applyAlignment="1">
      <alignment horizontal="center"/>
    </xf>
    <xf numFmtId="164" fontId="16" fillId="0" borderId="48" xfId="0" applyNumberFormat="1" applyFont="1" applyBorder="1" applyAlignment="1">
      <alignment horizontal="center"/>
    </xf>
    <xf numFmtId="164" fontId="16" fillId="0" borderId="26" xfId="0" applyNumberFormat="1" applyFont="1" applyBorder="1" applyAlignment="1">
      <alignment horizontal="center"/>
    </xf>
    <xf numFmtId="164" fontId="4" fillId="0" borderId="49" xfId="0" applyNumberFormat="1" applyFont="1" applyBorder="1" applyAlignment="1">
      <alignment horizontal="center"/>
    </xf>
    <xf numFmtId="164" fontId="4" fillId="0" borderId="51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164" fontId="16" fillId="0" borderId="51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16" fillId="0" borderId="44" xfId="0" applyNumberFormat="1" applyFont="1" applyBorder="1" applyAlignment="1">
      <alignment horizontal="center"/>
    </xf>
    <xf numFmtId="167" fontId="8" fillId="6" borderId="10" xfId="0" applyNumberFormat="1" applyFont="1" applyFill="1" applyBorder="1"/>
    <xf numFmtId="0" fontId="4" fillId="0" borderId="57" xfId="0" applyFont="1" applyBorder="1"/>
    <xf numFmtId="0" fontId="4" fillId="0" borderId="58" xfId="0" applyFont="1" applyBorder="1"/>
    <xf numFmtId="0" fontId="4" fillId="0" borderId="59" xfId="0" applyFont="1" applyBorder="1"/>
    <xf numFmtId="0" fontId="1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4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62" xfId="0" applyFont="1" applyFill="1" applyBorder="1" applyAlignment="1">
      <alignment horizontal="center"/>
    </xf>
    <xf numFmtId="0" fontId="3" fillId="3" borderId="63" xfId="0" applyFont="1" applyFill="1" applyBorder="1" applyAlignment="1">
      <alignment horizontal="center"/>
    </xf>
    <xf numFmtId="0" fontId="20" fillId="3" borderId="63" xfId="0" applyFont="1" applyFill="1" applyBorder="1" applyAlignment="1">
      <alignment horizontal="center"/>
    </xf>
    <xf numFmtId="0" fontId="4" fillId="0" borderId="66" xfId="0" applyFont="1" applyBorder="1"/>
    <xf numFmtId="0" fontId="5" fillId="0" borderId="67" xfId="0" applyFont="1" applyBorder="1" applyAlignment="1">
      <alignment wrapText="1"/>
    </xf>
    <xf numFmtId="0" fontId="5" fillId="0" borderId="68" xfId="0" applyFont="1" applyBorder="1" applyAlignment="1">
      <alignment wrapText="1"/>
    </xf>
    <xf numFmtId="0" fontId="19" fillId="0" borderId="39" xfId="0" applyFont="1" applyBorder="1" applyAlignment="1">
      <alignment wrapText="1"/>
    </xf>
    <xf numFmtId="0" fontId="5" fillId="0" borderId="69" xfId="0" applyFont="1" applyBorder="1" applyAlignment="1">
      <alignment wrapText="1"/>
    </xf>
    <xf numFmtId="0" fontId="5" fillId="0" borderId="67" xfId="0" applyFont="1" applyBorder="1"/>
    <xf numFmtId="0" fontId="5" fillId="0" borderId="70" xfId="0" applyFont="1" applyBorder="1"/>
    <xf numFmtId="0" fontId="4" fillId="0" borderId="26" xfId="0" applyFont="1" applyBorder="1"/>
    <xf numFmtId="164" fontId="4" fillId="0" borderId="26" xfId="0" applyNumberFormat="1" applyFont="1" applyBorder="1" applyAlignment="1">
      <alignment horizontal="center"/>
    </xf>
    <xf numFmtId="164" fontId="4" fillId="0" borderId="56" xfId="0" applyNumberFormat="1" applyFont="1" applyBorder="1" applyAlignment="1">
      <alignment horizontal="center"/>
    </xf>
    <xf numFmtId="0" fontId="5" fillId="0" borderId="37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5" fillId="0" borderId="60" xfId="0" applyFont="1" applyBorder="1" applyAlignment="1">
      <alignment horizontal="left"/>
    </xf>
    <xf numFmtId="0" fontId="7" fillId="0" borderId="7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0" borderId="22" xfId="0" applyFont="1" applyBorder="1" applyAlignment="1">
      <alignment wrapText="1"/>
    </xf>
    <xf numFmtId="164" fontId="7" fillId="0" borderId="1" xfId="0" applyNumberFormat="1" applyFont="1" applyBorder="1" applyAlignment="1">
      <alignment horizontal="center"/>
    </xf>
    <xf numFmtId="0" fontId="5" fillId="0" borderId="67" xfId="0" applyFont="1" applyBorder="1" applyAlignment="1">
      <alignment horizontal="center" wrapText="1"/>
    </xf>
    <xf numFmtId="7" fontId="5" fillId="0" borderId="2" xfId="0" applyNumberFormat="1" applyFont="1" applyBorder="1" applyAlignment="1">
      <alignment horizontal="center"/>
    </xf>
    <xf numFmtId="7" fontId="15" fillId="0" borderId="2" xfId="0" applyNumberFormat="1" applyFont="1" applyBorder="1" applyAlignment="1">
      <alignment horizontal="center"/>
    </xf>
    <xf numFmtId="164" fontId="4" fillId="0" borderId="37" xfId="0" applyNumberFormat="1" applyFont="1" applyBorder="1" applyAlignment="1">
      <alignment horizontal="center"/>
    </xf>
    <xf numFmtId="164" fontId="4" fillId="0" borderId="74" xfId="0" applyNumberFormat="1" applyFont="1" applyBorder="1" applyAlignment="1">
      <alignment horizontal="center"/>
    </xf>
    <xf numFmtId="164" fontId="4" fillId="0" borderId="50" xfId="0" applyNumberFormat="1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0" fontId="4" fillId="0" borderId="27" xfId="0" applyFont="1" applyBorder="1" applyAlignment="1">
      <alignment vertical="top" wrapText="1"/>
    </xf>
    <xf numFmtId="0" fontId="4" fillId="0" borderId="52" xfId="0" applyFont="1" applyBorder="1" applyAlignment="1">
      <alignment vertical="top" wrapText="1"/>
    </xf>
    <xf numFmtId="0" fontId="4" fillId="0" borderId="46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4" fillId="0" borderId="28" xfId="0" applyFont="1" applyBorder="1" applyAlignment="1">
      <alignment wrapText="1"/>
    </xf>
    <xf numFmtId="164" fontId="4" fillId="0" borderId="60" xfId="0" applyNumberFormat="1" applyFont="1" applyBorder="1" applyAlignment="1">
      <alignment horizontal="center"/>
    </xf>
    <xf numFmtId="164" fontId="4" fillId="0" borderId="61" xfId="0" applyNumberFormat="1" applyFont="1" applyBorder="1" applyAlignment="1">
      <alignment horizontal="center"/>
    </xf>
    <xf numFmtId="164" fontId="16" fillId="0" borderId="75" xfId="0" applyNumberFormat="1" applyFont="1" applyBorder="1" applyAlignment="1">
      <alignment horizontal="center"/>
    </xf>
    <xf numFmtId="164" fontId="16" fillId="0" borderId="50" xfId="0" applyNumberFormat="1" applyFont="1" applyBorder="1" applyAlignment="1">
      <alignment horizontal="center"/>
    </xf>
    <xf numFmtId="164" fontId="16" fillId="0" borderId="43" xfId="0" applyNumberFormat="1" applyFont="1" applyBorder="1" applyAlignment="1">
      <alignment horizontal="center"/>
    </xf>
    <xf numFmtId="0" fontId="5" fillId="0" borderId="76" xfId="0" applyFont="1" applyBorder="1"/>
    <xf numFmtId="0" fontId="4" fillId="0" borderId="32" xfId="0" applyFont="1" applyBorder="1" applyAlignment="1">
      <alignment horizontal="right"/>
    </xf>
    <xf numFmtId="0" fontId="5" fillId="0" borderId="32" xfId="0" applyFont="1" applyBorder="1"/>
    <xf numFmtId="170" fontId="5" fillId="0" borderId="32" xfId="0" applyNumberFormat="1" applyFont="1" applyBorder="1"/>
    <xf numFmtId="164" fontId="5" fillId="0" borderId="32" xfId="0" applyNumberFormat="1" applyFont="1" applyBorder="1" applyAlignment="1">
      <alignment horizontal="center"/>
    </xf>
    <xf numFmtId="0" fontId="3" fillId="3" borderId="64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22" xfId="0" applyFont="1" applyBorder="1"/>
    <xf numFmtId="0" fontId="3" fillId="0" borderId="41" xfId="0" applyFont="1" applyBorder="1"/>
    <xf numFmtId="0" fontId="3" fillId="0" borderId="39" xfId="0" applyFont="1" applyBorder="1"/>
    <xf numFmtId="0" fontId="3" fillId="0" borderId="40" xfId="0" applyFont="1" applyBorder="1"/>
    <xf numFmtId="0" fontId="3" fillId="0" borderId="32" xfId="0" applyFont="1" applyBorder="1"/>
    <xf numFmtId="0" fontId="3" fillId="0" borderId="78" xfId="0" applyFont="1" applyBorder="1"/>
    <xf numFmtId="0" fontId="8" fillId="0" borderId="12" xfId="0" applyFont="1" applyBorder="1"/>
    <xf numFmtId="0" fontId="8" fillId="0" borderId="36" xfId="0" applyFont="1" applyBorder="1"/>
    <xf numFmtId="0" fontId="8" fillId="0" borderId="34" xfId="0" applyFont="1" applyBorder="1"/>
    <xf numFmtId="0" fontId="8" fillId="0" borderId="35" xfId="0" applyFont="1" applyBorder="1"/>
    <xf numFmtId="43" fontId="16" fillId="0" borderId="56" xfId="0" applyNumberFormat="1" applyFont="1" applyBorder="1" applyAlignment="1">
      <alignment horizontal="center"/>
    </xf>
    <xf numFmtId="43" fontId="4" fillId="0" borderId="56" xfId="0" applyNumberFormat="1" applyFont="1" applyBorder="1" applyAlignment="1">
      <alignment horizontal="center"/>
    </xf>
    <xf numFmtId="0" fontId="5" fillId="0" borderId="39" xfId="0" applyFont="1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164" fontId="16" fillId="5" borderId="1" xfId="0" applyNumberFormat="1" applyFont="1" applyFill="1" applyBorder="1" applyAlignment="1">
      <alignment horizontal="center"/>
    </xf>
    <xf numFmtId="164" fontId="4" fillId="0" borderId="80" xfId="0" applyNumberFormat="1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10" fontId="22" fillId="0" borderId="22" xfId="0" applyNumberFormat="1" applyFont="1" applyBorder="1"/>
    <xf numFmtId="10" fontId="21" fillId="0" borderId="22" xfId="0" applyNumberFormat="1" applyFont="1" applyBorder="1"/>
    <xf numFmtId="0" fontId="11" fillId="0" borderId="1" xfId="0" applyFont="1" applyBorder="1"/>
    <xf numFmtId="164" fontId="21" fillId="0" borderId="22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164" fontId="32" fillId="0" borderId="1" xfId="0" applyNumberFormat="1" applyFont="1" applyBorder="1"/>
    <xf numFmtId="0" fontId="15" fillId="0" borderId="2" xfId="0" applyFont="1" applyBorder="1"/>
    <xf numFmtId="0" fontId="5" fillId="0" borderId="2" xfId="0" applyFont="1" applyBorder="1" applyAlignment="1">
      <alignment horizontal="center"/>
    </xf>
    <xf numFmtId="0" fontId="10" fillId="0" borderId="79" xfId="0" applyFont="1" applyBorder="1" applyAlignment="1">
      <alignment horizontal="center" wrapText="1"/>
    </xf>
    <xf numFmtId="0" fontId="8" fillId="3" borderId="65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12" fillId="0" borderId="6" xfId="0" applyFont="1" applyBorder="1" applyAlignment="1">
      <alignment vertical="center"/>
    </xf>
    <xf numFmtId="0" fontId="8" fillId="3" borderId="86" xfId="0" applyFont="1" applyFill="1" applyBorder="1" applyAlignment="1">
      <alignment horizontal="center"/>
    </xf>
    <xf numFmtId="0" fontId="8" fillId="3" borderId="87" xfId="0" applyFont="1" applyFill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5" fillId="3" borderId="35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164" fontId="16" fillId="0" borderId="54" xfId="0" applyNumberFormat="1" applyFont="1" applyBorder="1" applyAlignment="1">
      <alignment horizontal="center"/>
    </xf>
    <xf numFmtId="164" fontId="16" fillId="0" borderId="53" xfId="0" applyNumberFormat="1" applyFont="1" applyBorder="1" applyAlignment="1">
      <alignment horizontal="center"/>
    </xf>
    <xf numFmtId="164" fontId="16" fillId="0" borderId="55" xfId="0" applyNumberFormat="1" applyFont="1" applyBorder="1" applyAlignment="1">
      <alignment horizontal="center"/>
    </xf>
    <xf numFmtId="171" fontId="11" fillId="0" borderId="35" xfId="0" applyNumberFormat="1" applyFont="1" applyBorder="1"/>
    <xf numFmtId="0" fontId="11" fillId="0" borderId="39" xfId="0" applyFont="1" applyBorder="1"/>
    <xf numFmtId="171" fontId="11" fillId="0" borderId="31" xfId="0" applyNumberFormat="1" applyFont="1" applyBorder="1"/>
    <xf numFmtId="0" fontId="19" fillId="0" borderId="39" xfId="0" applyFont="1" applyBorder="1"/>
    <xf numFmtId="0" fontId="19" fillId="0" borderId="31" xfId="0" applyFont="1" applyBorder="1"/>
    <xf numFmtId="0" fontId="0" fillId="0" borderId="40" xfId="0" applyBorder="1"/>
    <xf numFmtId="0" fontId="0" fillId="0" borderId="33" xfId="0" applyBorder="1"/>
    <xf numFmtId="0" fontId="21" fillId="0" borderId="85" xfId="0" applyFont="1" applyBorder="1"/>
    <xf numFmtId="0" fontId="5" fillId="0" borderId="67" xfId="0" applyFont="1" applyBorder="1" applyAlignment="1">
      <alignment horizontal="left" wrapText="1"/>
    </xf>
    <xf numFmtId="165" fontId="5" fillId="0" borderId="1" xfId="0" applyNumberFormat="1" applyFont="1" applyBorder="1"/>
    <xf numFmtId="0" fontId="3" fillId="0" borderId="20" xfId="0" applyFont="1" applyBorder="1"/>
    <xf numFmtId="168" fontId="4" fillId="3" borderId="89" xfId="0" applyNumberFormat="1" applyFont="1" applyFill="1" applyBorder="1" applyAlignment="1">
      <alignment horizontal="center"/>
    </xf>
    <xf numFmtId="168" fontId="4" fillId="3" borderId="63" xfId="0" applyNumberFormat="1" applyFont="1" applyFill="1" applyBorder="1" applyAlignment="1">
      <alignment horizontal="center"/>
    </xf>
    <xf numFmtId="168" fontId="4" fillId="3" borderId="64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90" xfId="0" applyFont="1" applyFill="1" applyBorder="1" applyAlignment="1">
      <alignment horizontal="center"/>
    </xf>
    <xf numFmtId="0" fontId="4" fillId="3" borderId="91" xfId="0" applyFont="1" applyFill="1" applyBorder="1" applyAlignment="1">
      <alignment horizontal="center"/>
    </xf>
    <xf numFmtId="0" fontId="4" fillId="3" borderId="92" xfId="0" applyFont="1" applyFill="1" applyBorder="1" applyAlignment="1">
      <alignment horizontal="center"/>
    </xf>
    <xf numFmtId="43" fontId="4" fillId="3" borderId="15" xfId="0" applyNumberFormat="1" applyFont="1" applyFill="1" applyBorder="1" applyAlignment="1">
      <alignment horizontal="center"/>
    </xf>
    <xf numFmtId="168" fontId="4" fillId="7" borderId="63" xfId="0" applyNumberFormat="1" applyFont="1" applyFill="1" applyBorder="1" applyAlignment="1">
      <alignment horizontal="center"/>
    </xf>
    <xf numFmtId="0" fontId="4" fillId="7" borderId="91" xfId="0" applyFont="1" applyFill="1" applyBorder="1" applyAlignment="1">
      <alignment horizontal="center"/>
    </xf>
    <xf numFmtId="164" fontId="7" fillId="8" borderId="8" xfId="0" applyNumberFormat="1" applyFont="1" applyFill="1" applyBorder="1" applyAlignment="1">
      <alignment horizontal="center"/>
    </xf>
    <xf numFmtId="164" fontId="7" fillId="8" borderId="16" xfId="0" applyNumberFormat="1" applyFont="1" applyFill="1" applyBorder="1" applyAlignment="1">
      <alignment horizontal="center"/>
    </xf>
    <xf numFmtId="164" fontId="16" fillId="8" borderId="22" xfId="0" applyNumberFormat="1" applyFont="1" applyFill="1" applyBorder="1" applyAlignment="1">
      <alignment horizontal="center"/>
    </xf>
    <xf numFmtId="168" fontId="4" fillId="7" borderId="19" xfId="0" applyNumberFormat="1" applyFont="1" applyFill="1" applyBorder="1" applyAlignment="1">
      <alignment horizontal="center"/>
    </xf>
    <xf numFmtId="0" fontId="4" fillId="7" borderId="61" xfId="0" applyFont="1" applyFill="1" applyBorder="1" applyAlignment="1">
      <alignment horizontal="center"/>
    </xf>
    <xf numFmtId="164" fontId="7" fillId="8" borderId="21" xfId="0" applyNumberFormat="1" applyFont="1" applyFill="1" applyBorder="1" applyAlignment="1">
      <alignment horizontal="center"/>
    </xf>
    <xf numFmtId="164" fontId="13" fillId="8" borderId="21" xfId="0" applyNumberFormat="1" applyFont="1" applyFill="1" applyBorder="1" applyAlignment="1">
      <alignment horizontal="center"/>
    </xf>
    <xf numFmtId="164" fontId="13" fillId="8" borderId="8" xfId="0" applyNumberFormat="1" applyFont="1" applyFill="1" applyBorder="1" applyAlignment="1">
      <alignment horizontal="center"/>
    </xf>
    <xf numFmtId="164" fontId="4" fillId="8" borderId="22" xfId="0" applyNumberFormat="1" applyFont="1" applyFill="1" applyBorder="1" applyAlignment="1">
      <alignment horizontal="center"/>
    </xf>
    <xf numFmtId="164" fontId="36" fillId="8" borderId="21" xfId="0" applyNumberFormat="1" applyFont="1" applyFill="1" applyBorder="1" applyAlignment="1">
      <alignment horizontal="center"/>
    </xf>
    <xf numFmtId="164" fontId="17" fillId="5" borderId="57" xfId="0" applyNumberFormat="1" applyFont="1" applyFill="1" applyBorder="1" applyAlignment="1">
      <alignment horizontal="center"/>
    </xf>
    <xf numFmtId="0" fontId="5" fillId="0" borderId="76" xfId="0" applyFont="1" applyBorder="1" applyAlignment="1">
      <alignment wrapText="1"/>
    </xf>
    <xf numFmtId="0" fontId="5" fillId="0" borderId="11" xfId="0" applyFont="1" applyBorder="1" applyAlignment="1">
      <alignment wrapText="1"/>
    </xf>
    <xf numFmtId="49" fontId="5" fillId="0" borderId="11" xfId="0" applyNumberFormat="1" applyFont="1" applyBorder="1"/>
    <xf numFmtId="164" fontId="7" fillId="8" borderId="1" xfId="0" applyNumberFormat="1" applyFont="1" applyFill="1" applyBorder="1" applyAlignment="1">
      <alignment horizontal="center"/>
    </xf>
    <xf numFmtId="164" fontId="17" fillId="5" borderId="60" xfId="0" applyNumberFormat="1" applyFont="1" applyFill="1" applyBorder="1" applyAlignment="1">
      <alignment horizontal="center"/>
    </xf>
    <xf numFmtId="164" fontId="13" fillId="8" borderId="23" xfId="0" applyNumberFormat="1" applyFont="1" applyFill="1" applyBorder="1" applyAlignment="1">
      <alignment horizontal="center"/>
    </xf>
    <xf numFmtId="164" fontId="7" fillId="0" borderId="93" xfId="0" applyNumberFormat="1" applyFont="1" applyBorder="1" applyAlignment="1">
      <alignment horizontal="center"/>
    </xf>
    <xf numFmtId="164" fontId="7" fillId="8" borderId="51" xfId="0" applyNumberFormat="1" applyFont="1" applyFill="1" applyBorder="1" applyAlignment="1">
      <alignment horizontal="center"/>
    </xf>
    <xf numFmtId="164" fontId="35" fillId="5" borderId="81" xfId="0" applyNumberFormat="1" applyFont="1" applyFill="1" applyBorder="1"/>
    <xf numFmtId="164" fontId="35" fillId="5" borderId="82" xfId="0" applyNumberFormat="1" applyFont="1" applyFill="1" applyBorder="1"/>
    <xf numFmtId="164" fontId="35" fillId="5" borderId="83" xfId="0" applyNumberFormat="1" applyFont="1" applyFill="1" applyBorder="1"/>
    <xf numFmtId="0" fontId="9" fillId="0" borderId="1" xfId="0" applyFont="1" applyBorder="1"/>
    <xf numFmtId="171" fontId="11" fillId="8" borderId="52" xfId="0" applyNumberFormat="1" applyFont="1" applyFill="1" applyBorder="1" applyAlignment="1">
      <alignment horizontal="right"/>
    </xf>
    <xf numFmtId="171" fontId="11" fillId="8" borderId="51" xfId="0" applyNumberFormat="1" applyFont="1" applyFill="1" applyBorder="1" applyAlignment="1">
      <alignment horizontal="right"/>
    </xf>
    <xf numFmtId="171" fontId="21" fillId="0" borderId="1" xfId="0" applyNumberFormat="1" applyFont="1" applyBorder="1" applyAlignment="1">
      <alignment horizontal="right"/>
    </xf>
    <xf numFmtId="171" fontId="11" fillId="8" borderId="49" xfId="0" applyNumberFormat="1" applyFont="1" applyFill="1" applyBorder="1" applyAlignment="1">
      <alignment horizontal="right"/>
    </xf>
    <xf numFmtId="164" fontId="7" fillId="0" borderId="39" xfId="0" applyNumberFormat="1" applyFont="1" applyBorder="1" applyAlignment="1">
      <alignment horizontal="center"/>
    </xf>
    <xf numFmtId="164" fontId="13" fillId="0" borderId="95" xfId="0" applyNumberFormat="1" applyFont="1" applyBorder="1" applyAlignment="1">
      <alignment horizontal="center"/>
    </xf>
    <xf numFmtId="164" fontId="7" fillId="0" borderId="94" xfId="0" applyNumberFormat="1" applyFont="1" applyBorder="1" applyAlignment="1">
      <alignment horizontal="center"/>
    </xf>
    <xf numFmtId="0" fontId="4" fillId="0" borderId="85" xfId="0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164" fontId="7" fillId="0" borderId="98" xfId="0" applyNumberFormat="1" applyFont="1" applyBorder="1" applyAlignment="1">
      <alignment horizontal="center"/>
    </xf>
    <xf numFmtId="164" fontId="7" fillId="0" borderId="99" xfId="0" applyNumberFormat="1" applyFont="1" applyBorder="1" applyAlignment="1">
      <alignment horizontal="center"/>
    </xf>
    <xf numFmtId="164" fontId="13" fillId="0" borderId="100" xfId="0" applyNumberFormat="1" applyFont="1" applyBorder="1" applyAlignment="1">
      <alignment horizontal="center"/>
    </xf>
    <xf numFmtId="164" fontId="13" fillId="0" borderId="8" xfId="0" applyNumberFormat="1" applyFont="1" applyBorder="1" applyAlignment="1">
      <alignment horizontal="center"/>
    </xf>
    <xf numFmtId="164" fontId="13" fillId="0" borderId="101" xfId="0" applyNumberFormat="1" applyFont="1" applyBorder="1" applyAlignment="1">
      <alignment horizontal="center"/>
    </xf>
    <xf numFmtId="164" fontId="16" fillId="0" borderId="85" xfId="0" applyNumberFormat="1" applyFont="1" applyBorder="1" applyAlignment="1">
      <alignment horizontal="center"/>
    </xf>
    <xf numFmtId="164" fontId="16" fillId="0" borderId="39" xfId="0" applyNumberFormat="1" applyFont="1" applyBorder="1" applyAlignment="1">
      <alignment horizontal="center"/>
    </xf>
    <xf numFmtId="10" fontId="22" fillId="0" borderId="34" xfId="0" applyNumberFormat="1" applyFont="1" applyBorder="1"/>
    <xf numFmtId="0" fontId="10" fillId="0" borderId="36" xfId="0" applyFont="1" applyBorder="1" applyAlignment="1">
      <alignment horizontal="center" wrapText="1"/>
    </xf>
    <xf numFmtId="164" fontId="21" fillId="0" borderId="34" xfId="0" applyNumberFormat="1" applyFont="1" applyBorder="1" applyAlignment="1">
      <alignment horizontal="center"/>
    </xf>
    <xf numFmtId="164" fontId="21" fillId="0" borderId="35" xfId="0" applyNumberFormat="1" applyFont="1" applyBorder="1" applyAlignment="1">
      <alignment horizontal="center"/>
    </xf>
    <xf numFmtId="164" fontId="21" fillId="0" borderId="31" xfId="0" applyNumberFormat="1" applyFont="1" applyBorder="1" applyAlignment="1">
      <alignment horizontal="center"/>
    </xf>
    <xf numFmtId="10" fontId="1" fillId="0" borderId="37" xfId="0" applyNumberFormat="1" applyFont="1" applyBorder="1" applyAlignment="1">
      <alignment horizontal="left"/>
    </xf>
    <xf numFmtId="164" fontId="32" fillId="0" borderId="14" xfId="0" applyNumberFormat="1" applyFont="1" applyBorder="1"/>
    <xf numFmtId="164" fontId="1" fillId="0" borderId="96" xfId="0" applyNumberFormat="1" applyFont="1" applyBorder="1" applyAlignment="1">
      <alignment horizontal="center"/>
    </xf>
    <xf numFmtId="164" fontId="1" fillId="0" borderId="102" xfId="0" applyNumberFormat="1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5" fillId="0" borderId="71" xfId="0" applyFont="1" applyBorder="1"/>
    <xf numFmtId="0" fontId="4" fillId="0" borderId="24" xfId="0" applyFont="1" applyBorder="1" applyAlignment="1">
      <alignment horizontal="right"/>
    </xf>
    <xf numFmtId="0" fontId="5" fillId="0" borderId="24" xfId="0" applyFont="1" applyBorder="1"/>
    <xf numFmtId="170" fontId="5" fillId="0" borderId="24" xfId="0" applyNumberFormat="1" applyFont="1" applyBorder="1"/>
    <xf numFmtId="164" fontId="5" fillId="0" borderId="24" xfId="0" applyNumberFormat="1" applyFont="1" applyBorder="1" applyAlignment="1">
      <alignment horizontal="center"/>
    </xf>
    <xf numFmtId="0" fontId="4" fillId="0" borderId="85" xfId="0" applyFont="1" applyBorder="1"/>
    <xf numFmtId="0" fontId="4" fillId="0" borderId="34" xfId="0" applyFont="1" applyBorder="1"/>
    <xf numFmtId="0" fontId="5" fillId="0" borderId="34" xfId="0" applyFont="1" applyBorder="1"/>
    <xf numFmtId="0" fontId="3" fillId="3" borderId="105" xfId="0" applyFont="1" applyFill="1" applyBorder="1" applyAlignment="1">
      <alignment horizontal="center"/>
    </xf>
    <xf numFmtId="164" fontId="5" fillId="3" borderId="105" xfId="0" applyNumberFormat="1" applyFont="1" applyFill="1" applyBorder="1" applyAlignment="1">
      <alignment horizontal="center"/>
    </xf>
    <xf numFmtId="164" fontId="16" fillId="5" borderId="60" xfId="0" applyNumberFormat="1" applyFont="1" applyFill="1" applyBorder="1" applyAlignment="1">
      <alignment horizontal="center"/>
    </xf>
    <xf numFmtId="164" fontId="16" fillId="0" borderId="60" xfId="0" applyNumberFormat="1" applyFont="1" applyBorder="1" applyAlignment="1">
      <alignment horizontal="center"/>
    </xf>
    <xf numFmtId="164" fontId="16" fillId="5" borderId="61" xfId="0" applyNumberFormat="1" applyFont="1" applyFill="1" applyBorder="1" applyAlignment="1">
      <alignment horizontal="center"/>
    </xf>
    <xf numFmtId="164" fontId="35" fillId="5" borderId="22" xfId="0" applyNumberFormat="1" applyFont="1" applyFill="1" applyBorder="1"/>
    <xf numFmtId="0" fontId="39" fillId="0" borderId="0" xfId="0" applyFont="1"/>
    <xf numFmtId="0" fontId="40" fillId="0" borderId="0" xfId="0" applyFont="1"/>
    <xf numFmtId="0" fontId="41" fillId="0" borderId="88" xfId="0" applyFont="1" applyBorder="1"/>
    <xf numFmtId="0" fontId="40" fillId="0" borderId="36" xfId="0" applyFont="1" applyBorder="1"/>
    <xf numFmtId="0" fontId="40" fillId="0" borderId="13" xfId="0" applyFont="1" applyBorder="1"/>
    <xf numFmtId="0" fontId="41" fillId="0" borderId="86" xfId="0" applyFont="1" applyBorder="1" applyAlignment="1">
      <alignment wrapText="1"/>
    </xf>
    <xf numFmtId="0" fontId="41" fillId="0" borderId="72" xfId="0" applyFont="1" applyBorder="1" applyAlignment="1">
      <alignment wrapText="1"/>
    </xf>
    <xf numFmtId="0" fontId="41" fillId="0" borderId="15" xfId="0" applyFont="1" applyBorder="1" applyAlignment="1">
      <alignment wrapText="1"/>
    </xf>
    <xf numFmtId="0" fontId="41" fillId="0" borderId="0" xfId="0" applyFont="1" applyAlignment="1">
      <alignment wrapText="1"/>
    </xf>
    <xf numFmtId="0" fontId="40" fillId="0" borderId="108" xfId="0" applyFont="1" applyBorder="1"/>
    <xf numFmtId="0" fontId="40" fillId="0" borderId="1" xfId="0" applyFont="1" applyBorder="1"/>
    <xf numFmtId="0" fontId="40" fillId="0" borderId="73" xfId="0" applyFont="1" applyBorder="1"/>
    <xf numFmtId="0" fontId="40" fillId="0" borderId="79" xfId="0" applyFont="1" applyBorder="1"/>
    <xf numFmtId="0" fontId="40" fillId="0" borderId="86" xfId="0" applyFont="1" applyBorder="1"/>
    <xf numFmtId="0" fontId="40" fillId="0" borderId="72" xfId="0" applyFont="1" applyBorder="1"/>
    <xf numFmtId="0" fontId="41" fillId="0" borderId="12" xfId="0" applyFont="1" applyBorder="1"/>
    <xf numFmtId="0" fontId="40" fillId="0" borderId="60" xfId="0" applyFont="1" applyBorder="1" applyAlignment="1">
      <alignment wrapText="1"/>
    </xf>
    <xf numFmtId="0" fontId="40" fillId="0" borderId="0" xfId="0" applyFont="1" applyAlignment="1">
      <alignment wrapText="1"/>
    </xf>
    <xf numFmtId="0" fontId="40" fillId="0" borderId="22" xfId="0" applyFont="1" applyBorder="1"/>
    <xf numFmtId="0" fontId="41" fillId="0" borderId="22" xfId="0" applyFont="1" applyBorder="1" applyAlignment="1">
      <alignment wrapText="1"/>
    </xf>
    <xf numFmtId="0" fontId="7" fillId="0" borderId="4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70" fontId="5" fillId="0" borderId="1" xfId="0" applyNumberFormat="1" applyFont="1" applyBorder="1"/>
    <xf numFmtId="0" fontId="44" fillId="0" borderId="22" xfId="0" applyFont="1" applyBorder="1"/>
    <xf numFmtId="0" fontId="41" fillId="0" borderId="1" xfId="0" applyFont="1" applyBorder="1"/>
    <xf numFmtId="0" fontId="44" fillId="0" borderId="41" xfId="0" applyFont="1" applyBorder="1"/>
    <xf numFmtId="0" fontId="44" fillId="0" borderId="104" xfId="0" applyFont="1" applyBorder="1"/>
    <xf numFmtId="0" fontId="44" fillId="0" borderId="1" xfId="0" applyFont="1" applyBorder="1"/>
    <xf numFmtId="0" fontId="4" fillId="0" borderId="27" xfId="0" applyFont="1" applyBorder="1"/>
    <xf numFmtId="0" fontId="4" fillId="0" borderId="98" xfId="0" applyFont="1" applyBorder="1"/>
    <xf numFmtId="0" fontId="25" fillId="0" borderId="98" xfId="0" applyFont="1" applyBorder="1"/>
    <xf numFmtId="0" fontId="5" fillId="0" borderId="112" xfId="0" applyFont="1" applyBorder="1"/>
    <xf numFmtId="0" fontId="5" fillId="0" borderId="113" xfId="0" applyFont="1" applyBorder="1" applyAlignment="1">
      <alignment wrapText="1"/>
    </xf>
    <xf numFmtId="0" fontId="5" fillId="0" borderId="113" xfId="0" applyFont="1" applyBorder="1"/>
    <xf numFmtId="0" fontId="43" fillId="9" borderId="19" xfId="0" applyFont="1" applyFill="1" applyBorder="1"/>
    <xf numFmtId="171" fontId="43" fillId="9" borderId="51" xfId="0" applyNumberFormat="1" applyFont="1" applyFill="1" applyBorder="1"/>
    <xf numFmtId="0" fontId="43" fillId="5" borderId="52" xfId="0" applyFont="1" applyFill="1" applyBorder="1"/>
    <xf numFmtId="164" fontId="4" fillId="5" borderId="51" xfId="0" applyNumberFormat="1" applyFont="1" applyFill="1" applyBorder="1" applyAlignment="1">
      <alignment horizontal="center"/>
    </xf>
    <xf numFmtId="43" fontId="4" fillId="5" borderId="51" xfId="0" applyNumberFormat="1" applyFont="1" applyFill="1" applyBorder="1" applyAlignment="1">
      <alignment horizontal="center"/>
    </xf>
    <xf numFmtId="164" fontId="4" fillId="5" borderId="84" xfId="0" applyNumberFormat="1" applyFont="1" applyFill="1" applyBorder="1" applyAlignment="1">
      <alignment horizontal="center"/>
    </xf>
    <xf numFmtId="42" fontId="43" fillId="9" borderId="51" xfId="0" applyNumberFormat="1" applyFont="1" applyFill="1" applyBorder="1"/>
    <xf numFmtId="171" fontId="42" fillId="0" borderId="0" xfId="0" applyNumberFormat="1" applyFont="1" applyAlignment="1">
      <alignment horizontal="right"/>
    </xf>
    <xf numFmtId="171" fontId="43" fillId="0" borderId="1" xfId="0" applyNumberFormat="1" applyFont="1" applyBorder="1"/>
    <xf numFmtId="42" fontId="43" fillId="9" borderId="50" xfId="0" applyNumberFormat="1" applyFont="1" applyFill="1" applyBorder="1"/>
    <xf numFmtId="0" fontId="44" fillId="0" borderId="26" xfId="0" applyFont="1" applyBorder="1"/>
    <xf numFmtId="0" fontId="4" fillId="5" borderId="111" xfId="0" applyFont="1" applyFill="1" applyBorder="1"/>
    <xf numFmtId="171" fontId="33" fillId="5" borderId="49" xfId="0" applyNumberFormat="1" applyFont="1" applyFill="1" applyBorder="1" applyAlignment="1">
      <alignment horizontal="right" wrapText="1"/>
    </xf>
    <xf numFmtId="171" fontId="33" fillId="5" borderId="51" xfId="0" applyNumberFormat="1" applyFont="1" applyFill="1" applyBorder="1" applyAlignment="1">
      <alignment horizontal="right"/>
    </xf>
    <xf numFmtId="171" fontId="33" fillId="5" borderId="53" xfId="0" applyNumberFormat="1" applyFont="1" applyFill="1" applyBorder="1" applyAlignment="1">
      <alignment horizontal="right"/>
    </xf>
    <xf numFmtId="171" fontId="42" fillId="5" borderId="84" xfId="0" applyNumberFormat="1" applyFont="1" applyFill="1" applyBorder="1" applyAlignment="1">
      <alignment horizontal="right"/>
    </xf>
    <xf numFmtId="0" fontId="40" fillId="0" borderId="24" xfId="0" applyFont="1" applyBorder="1"/>
    <xf numFmtId="0" fontId="0" fillId="0" borderId="22" xfId="0" applyBorder="1" applyAlignment="1">
      <alignment horizontal="right" wrapText="1"/>
    </xf>
    <xf numFmtId="42" fontId="40" fillId="0" borderId="31" xfId="0" applyNumberFormat="1" applyFont="1" applyBorder="1"/>
    <xf numFmtId="42" fontId="40" fillId="0" borderId="118" xfId="0" applyNumberFormat="1" applyFont="1" applyBorder="1"/>
    <xf numFmtId="42" fontId="40" fillId="0" borderId="119" xfId="0" applyNumberFormat="1" applyFont="1" applyBorder="1"/>
    <xf numFmtId="0" fontId="40" fillId="0" borderId="39" xfId="0" applyFont="1" applyBorder="1" applyAlignment="1">
      <alignment horizontal="right" wrapText="1"/>
    </xf>
    <xf numFmtId="0" fontId="40" fillId="0" borderId="32" xfId="0" applyFont="1" applyBorder="1"/>
    <xf numFmtId="42" fontId="40" fillId="0" borderId="33" xfId="0" applyNumberFormat="1" applyFont="1" applyBorder="1"/>
    <xf numFmtId="0" fontId="41" fillId="0" borderId="82" xfId="0" applyFont="1" applyBorder="1"/>
    <xf numFmtId="42" fontId="41" fillId="0" borderId="83" xfId="0" applyNumberFormat="1" applyFont="1" applyBorder="1"/>
    <xf numFmtId="171" fontId="46" fillId="9" borderId="10" xfId="0" applyNumberFormat="1" applyFont="1" applyFill="1" applyBorder="1"/>
    <xf numFmtId="171" fontId="40" fillId="0" borderId="1" xfId="0" applyNumberFormat="1" applyFont="1" applyBorder="1"/>
    <xf numFmtId="0" fontId="49" fillId="0" borderId="37" xfId="0" applyFont="1" applyBorder="1"/>
    <xf numFmtId="0" fontId="49" fillId="0" borderId="0" xfId="0" applyFont="1"/>
    <xf numFmtId="0" fontId="43" fillId="0" borderId="1" xfId="0" applyFont="1" applyBorder="1"/>
    <xf numFmtId="171" fontId="43" fillId="0" borderId="80" xfId="0" applyNumberFormat="1" applyFont="1" applyBorder="1"/>
    <xf numFmtId="171" fontId="43" fillId="0" borderId="122" xfId="0" applyNumberFormat="1" applyFont="1" applyBorder="1"/>
    <xf numFmtId="171" fontId="43" fillId="0" borderId="79" xfId="0" applyNumberFormat="1" applyFont="1" applyBorder="1"/>
    <xf numFmtId="42" fontId="43" fillId="0" borderId="1" xfId="0" applyNumberFormat="1" applyFont="1" applyBorder="1"/>
    <xf numFmtId="42" fontId="43" fillId="0" borderId="80" xfId="0" applyNumberFormat="1" applyFont="1" applyBorder="1"/>
    <xf numFmtId="42" fontId="43" fillId="0" borderId="122" xfId="0" applyNumberFormat="1" applyFont="1" applyBorder="1"/>
    <xf numFmtId="42" fontId="40" fillId="0" borderId="1" xfId="0" applyNumberFormat="1" applyFont="1" applyBorder="1"/>
    <xf numFmtId="171" fontId="46" fillId="0" borderId="1" xfId="0" applyNumberFormat="1" applyFont="1" applyBorder="1"/>
    <xf numFmtId="171" fontId="45" fillId="0" borderId="1" xfId="0" applyNumberFormat="1" applyFont="1" applyBorder="1"/>
    <xf numFmtId="171" fontId="43" fillId="0" borderId="107" xfId="0" applyNumberFormat="1" applyFont="1" applyBorder="1"/>
    <xf numFmtId="0" fontId="44" fillId="0" borderId="122" xfId="0" applyFont="1" applyBorder="1"/>
    <xf numFmtId="171" fontId="43" fillId="9" borderId="61" xfId="0" applyNumberFormat="1" applyFont="1" applyFill="1" applyBorder="1"/>
    <xf numFmtId="0" fontId="43" fillId="8" borderId="19" xfId="0" applyFont="1" applyFill="1" applyBorder="1"/>
    <xf numFmtId="171" fontId="44" fillId="8" borderId="51" xfId="0" applyNumberFormat="1" applyFont="1" applyFill="1" applyBorder="1"/>
    <xf numFmtId="171" fontId="44" fillId="8" borderId="50" xfId="0" applyNumberFormat="1" applyFont="1" applyFill="1" applyBorder="1"/>
    <xf numFmtId="171" fontId="43" fillId="8" borderId="61" xfId="0" applyNumberFormat="1" applyFont="1" applyFill="1" applyBorder="1"/>
    <xf numFmtId="171" fontId="42" fillId="8" borderId="51" xfId="0" applyNumberFormat="1" applyFont="1" applyFill="1" applyBorder="1"/>
    <xf numFmtId="171" fontId="42" fillId="8" borderId="50" xfId="0" applyNumberFormat="1" applyFont="1" applyFill="1" applyBorder="1"/>
    <xf numFmtId="0" fontId="5" fillId="0" borderId="37" xfId="0" applyFont="1" applyBorder="1" applyAlignment="1">
      <alignment wrapText="1"/>
    </xf>
    <xf numFmtId="7" fontId="5" fillId="0" borderId="1" xfId="0" applyNumberFormat="1" applyFont="1" applyBorder="1" applyAlignment="1">
      <alignment horizontal="center"/>
    </xf>
    <xf numFmtId="37" fontId="5" fillId="0" borderId="1" xfId="0" applyNumberFormat="1" applyFont="1" applyBorder="1" applyAlignment="1">
      <alignment horizontal="center"/>
    </xf>
    <xf numFmtId="164" fontId="5" fillId="5" borderId="51" xfId="0" applyNumberFormat="1" applyFont="1" applyFill="1" applyBorder="1" applyAlignment="1">
      <alignment horizontal="center"/>
    </xf>
    <xf numFmtId="0" fontId="40" fillId="0" borderId="1" xfId="0" applyFont="1" applyBorder="1" applyAlignment="1">
      <alignment horizontal="right"/>
    </xf>
    <xf numFmtId="42" fontId="4" fillId="5" borderId="51" xfId="0" applyNumberFormat="1" applyFont="1" applyFill="1" applyBorder="1" applyAlignment="1">
      <alignment horizontal="center"/>
    </xf>
    <xf numFmtId="164" fontId="43" fillId="0" borderId="10" xfId="0" applyNumberFormat="1" applyFont="1" applyBorder="1"/>
    <xf numFmtId="171" fontId="43" fillId="0" borderId="10" xfId="0" applyNumberFormat="1" applyFont="1" applyBorder="1" applyAlignment="1">
      <alignment horizontal="right"/>
    </xf>
    <xf numFmtId="3" fontId="3" fillId="0" borderId="31" xfId="0" applyNumberFormat="1" applyFont="1" applyBorder="1"/>
    <xf numFmtId="3" fontId="3" fillId="0" borderId="33" xfId="0" applyNumberFormat="1" applyFont="1" applyBorder="1"/>
    <xf numFmtId="3" fontId="3" fillId="0" borderId="22" xfId="0" applyNumberFormat="1" applyFont="1" applyBorder="1"/>
    <xf numFmtId="3" fontId="3" fillId="0" borderId="32" xfId="0" applyNumberFormat="1" applyFont="1" applyBorder="1"/>
    <xf numFmtId="3" fontId="3" fillId="0" borderId="109" xfId="0" applyNumberFormat="1" applyFont="1" applyBorder="1"/>
    <xf numFmtId="43" fontId="16" fillId="5" borderId="51" xfId="0" applyNumberFormat="1" applyFont="1" applyFill="1" applyBorder="1" applyAlignment="1">
      <alignment horizontal="center"/>
    </xf>
    <xf numFmtId="164" fontId="33" fillId="0" borderId="10" xfId="0" applyNumberFormat="1" applyFont="1" applyBorder="1" applyAlignment="1">
      <alignment horizontal="center"/>
    </xf>
    <xf numFmtId="172" fontId="40" fillId="0" borderId="0" xfId="0" applyNumberFormat="1" applyFont="1"/>
    <xf numFmtId="164" fontId="11" fillId="0" borderId="1" xfId="0" applyNumberFormat="1" applyFont="1" applyBorder="1"/>
    <xf numFmtId="44" fontId="44" fillId="0" borderId="26" xfId="0" applyNumberFormat="1" applyFont="1" applyBorder="1"/>
    <xf numFmtId="0" fontId="44" fillId="0" borderId="26" xfId="0" applyFont="1" applyBorder="1" applyAlignment="1">
      <alignment horizontal="right"/>
    </xf>
    <xf numFmtId="42" fontId="40" fillId="0" borderId="104" xfId="0" applyNumberFormat="1" applyFont="1" applyBorder="1"/>
    <xf numFmtId="0" fontId="40" fillId="0" borderId="122" xfId="0" applyFont="1" applyBorder="1"/>
    <xf numFmtId="0" fontId="40" fillId="0" borderId="47" xfId="0" applyFont="1" applyBorder="1"/>
    <xf numFmtId="42" fontId="40" fillId="0" borderId="124" xfId="0" applyNumberFormat="1" applyFont="1" applyBorder="1"/>
    <xf numFmtId="0" fontId="40" fillId="0" borderId="38" xfId="0" applyFont="1" applyBorder="1"/>
    <xf numFmtId="42" fontId="40" fillId="0" borderId="125" xfId="0" applyNumberFormat="1" applyFont="1" applyBorder="1"/>
    <xf numFmtId="171" fontId="40" fillId="0" borderId="124" xfId="0" applyNumberFormat="1" applyFont="1" applyBorder="1"/>
    <xf numFmtId="42" fontId="40" fillId="0" borderId="77" xfId="0" applyNumberFormat="1" applyFont="1" applyBorder="1"/>
    <xf numFmtId="0" fontId="40" fillId="0" borderId="45" xfId="0" applyFont="1" applyBorder="1"/>
    <xf numFmtId="0" fontId="43" fillId="5" borderId="19" xfId="0" applyFont="1" applyFill="1" applyBorder="1"/>
    <xf numFmtId="0" fontId="5" fillId="0" borderId="126" xfId="0" applyFont="1" applyBorder="1"/>
    <xf numFmtId="7" fontId="5" fillId="0" borderId="22" xfId="0" applyNumberFormat="1" applyFont="1" applyBorder="1" applyAlignment="1">
      <alignment horizontal="center"/>
    </xf>
    <xf numFmtId="37" fontId="5" fillId="0" borderId="22" xfId="0" applyNumberFormat="1" applyFont="1" applyBorder="1" applyAlignment="1">
      <alignment horizontal="center"/>
    </xf>
    <xf numFmtId="171" fontId="43" fillId="10" borderId="52" xfId="0" applyNumberFormat="1" applyFont="1" applyFill="1" applyBorder="1"/>
    <xf numFmtId="171" fontId="43" fillId="10" borderId="51" xfId="0" applyNumberFormat="1" applyFont="1" applyFill="1" applyBorder="1"/>
    <xf numFmtId="171" fontId="43" fillId="9" borderId="84" xfId="0" applyNumberFormat="1" applyFont="1" applyFill="1" applyBorder="1"/>
    <xf numFmtId="164" fontId="40" fillId="0" borderId="0" xfId="0" applyNumberFormat="1" applyFont="1"/>
    <xf numFmtId="164" fontId="52" fillId="8" borderId="21" xfId="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center" textRotation="90"/>
    </xf>
    <xf numFmtId="164" fontId="7" fillId="0" borderId="25" xfId="0" applyNumberFormat="1" applyFont="1" applyBorder="1" applyAlignment="1">
      <alignment horizontal="center"/>
    </xf>
    <xf numFmtId="5" fontId="13" fillId="8" borderId="21" xfId="0" applyNumberFormat="1" applyFont="1" applyFill="1" applyBorder="1" applyAlignment="1">
      <alignment horizontal="right"/>
    </xf>
    <xf numFmtId="43" fontId="4" fillId="0" borderId="51" xfId="0" applyNumberFormat="1" applyFont="1" applyBorder="1" applyAlignment="1">
      <alignment horizontal="center"/>
    </xf>
    <xf numFmtId="164" fontId="1" fillId="0" borderId="78" xfId="0" applyNumberFormat="1" applyFont="1" applyBorder="1" applyAlignment="1">
      <alignment horizontal="center"/>
    </xf>
    <xf numFmtId="164" fontId="1" fillId="0" borderId="103" xfId="0" applyNumberFormat="1" applyFont="1" applyBorder="1" applyAlignment="1">
      <alignment horizontal="center"/>
    </xf>
    <xf numFmtId="164" fontId="33" fillId="8" borderId="10" xfId="0" applyNumberFormat="1" applyFont="1" applyFill="1" applyBorder="1" applyAlignment="1">
      <alignment horizontal="center"/>
    </xf>
    <xf numFmtId="164" fontId="33" fillId="8" borderId="32" xfId="0" applyNumberFormat="1" applyFont="1" applyFill="1" applyBorder="1" applyAlignment="1">
      <alignment horizontal="center"/>
    </xf>
    <xf numFmtId="164" fontId="17" fillId="0" borderId="97" xfId="0" applyNumberFormat="1" applyFont="1" applyBorder="1" applyAlignment="1">
      <alignment horizontal="center"/>
    </xf>
    <xf numFmtId="0" fontId="19" fillId="0" borderId="0" xfId="0" applyFont="1"/>
    <xf numFmtId="0" fontId="0" fillId="0" borderId="1" xfId="0" applyBorder="1"/>
    <xf numFmtId="164" fontId="13" fillId="0" borderId="1" xfId="0" applyNumberFormat="1" applyFont="1" applyBorder="1" applyAlignment="1">
      <alignment horizontal="center"/>
    </xf>
    <xf numFmtId="0" fontId="4" fillId="8" borderId="98" xfId="0" applyFont="1" applyFill="1" applyBorder="1" applyAlignment="1">
      <alignment horizontal="center"/>
    </xf>
    <xf numFmtId="0" fontId="4" fillId="8" borderId="99" xfId="0" applyFont="1" applyFill="1" applyBorder="1" applyAlignment="1">
      <alignment horizontal="center"/>
    </xf>
    <xf numFmtId="43" fontId="4" fillId="0" borderId="100" xfId="0" applyNumberFormat="1" applyFont="1" applyBorder="1" applyAlignment="1">
      <alignment horizontal="center"/>
    </xf>
    <xf numFmtId="164" fontId="16" fillId="0" borderId="122" xfId="0" applyNumberFormat="1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64" fontId="33" fillId="8" borderId="78" xfId="0" applyNumberFormat="1" applyFont="1" applyFill="1" applyBorder="1" applyAlignment="1">
      <alignment horizontal="center"/>
    </xf>
    <xf numFmtId="164" fontId="33" fillId="8" borderId="103" xfId="0" applyNumberFormat="1" applyFont="1" applyFill="1" applyBorder="1" applyAlignment="1">
      <alignment horizontal="center"/>
    </xf>
    <xf numFmtId="164" fontId="5" fillId="8" borderId="24" xfId="0" applyNumberFormat="1" applyFont="1" applyFill="1" applyBorder="1" applyAlignment="1">
      <alignment horizontal="center"/>
    </xf>
    <xf numFmtId="164" fontId="44" fillId="0" borderId="26" xfId="0" applyNumberFormat="1" applyFont="1" applyBorder="1"/>
    <xf numFmtId="0" fontId="42" fillId="0" borderId="10" xfId="0" applyFont="1" applyBorder="1" applyAlignment="1">
      <alignment horizontal="right"/>
    </xf>
    <xf numFmtId="164" fontId="43" fillId="0" borderId="1" xfId="0" applyNumberFormat="1" applyFont="1" applyBorder="1"/>
    <xf numFmtId="171" fontId="43" fillId="8" borderId="20" xfId="0" applyNumberFormat="1" applyFont="1" applyFill="1" applyBorder="1"/>
    <xf numFmtId="0" fontId="43" fillId="0" borderId="1" xfId="0" applyFont="1" applyBorder="1" applyAlignment="1">
      <alignment horizontal="right"/>
    </xf>
    <xf numFmtId="0" fontId="43" fillId="10" borderId="10" xfId="0" applyFont="1" applyFill="1" applyBorder="1"/>
    <xf numFmtId="42" fontId="43" fillId="10" borderId="52" xfId="0" applyNumberFormat="1" applyFont="1" applyFill="1" applyBorder="1"/>
    <xf numFmtId="42" fontId="43" fillId="10" borderId="51" xfId="0" applyNumberFormat="1" applyFont="1" applyFill="1" applyBorder="1"/>
    <xf numFmtId="171" fontId="43" fillId="11" borderId="10" xfId="0" applyNumberFormat="1" applyFont="1" applyFill="1" applyBorder="1"/>
    <xf numFmtId="0" fontId="40" fillId="11" borderId="20" xfId="0" applyFont="1" applyFill="1" applyBorder="1"/>
    <xf numFmtId="173" fontId="46" fillId="0" borderId="1" xfId="0" applyNumberFormat="1" applyFont="1" applyBorder="1"/>
    <xf numFmtId="171" fontId="46" fillId="0" borderId="36" xfId="0" applyNumberFormat="1" applyFont="1" applyBorder="1"/>
    <xf numFmtId="171" fontId="44" fillId="8" borderId="53" xfId="0" applyNumberFormat="1" applyFont="1" applyFill="1" applyBorder="1"/>
    <xf numFmtId="171" fontId="43" fillId="8" borderId="19" xfId="0" applyNumberFormat="1" applyFont="1" applyFill="1" applyBorder="1"/>
    <xf numFmtId="0" fontId="43" fillId="0" borderId="106" xfId="0" applyFont="1" applyBorder="1" applyAlignment="1">
      <alignment horizontal="right" wrapText="1"/>
    </xf>
    <xf numFmtId="172" fontId="46" fillId="9" borderId="10" xfId="0" applyNumberFormat="1" applyFont="1" applyFill="1" applyBorder="1"/>
    <xf numFmtId="172" fontId="46" fillId="8" borderId="10" xfId="0" applyNumberFormat="1" applyFont="1" applyFill="1" applyBorder="1"/>
    <xf numFmtId="171" fontId="43" fillId="0" borderId="1" xfId="0" applyNumberFormat="1" applyFont="1" applyBorder="1" applyAlignment="1">
      <alignment horizontal="right"/>
    </xf>
    <xf numFmtId="42" fontId="43" fillId="9" borderId="10" xfId="0" applyNumberFormat="1" applyFont="1" applyFill="1" applyBorder="1"/>
    <xf numFmtId="171" fontId="43" fillId="8" borderId="10" xfId="0" applyNumberFormat="1" applyFont="1" applyFill="1" applyBorder="1"/>
    <xf numFmtId="171" fontId="43" fillId="0" borderId="1" xfId="0" applyNumberFormat="1" applyFont="1" applyBorder="1" applyAlignment="1">
      <alignment horizontal="right" wrapText="1"/>
    </xf>
    <xf numFmtId="171" fontId="44" fillId="0" borderId="1" xfId="0" applyNumberFormat="1" applyFont="1" applyBorder="1"/>
    <xf numFmtId="172" fontId="46" fillId="0" borderId="1" xfId="0" applyNumberFormat="1" applyFont="1" applyBorder="1"/>
    <xf numFmtId="171" fontId="42" fillId="0" borderId="1" xfId="0" applyNumberFormat="1" applyFont="1" applyBorder="1"/>
    <xf numFmtId="172" fontId="40" fillId="0" borderId="1" xfId="0" applyNumberFormat="1" applyFont="1" applyBorder="1"/>
    <xf numFmtId="172" fontId="43" fillId="0" borderId="1" xfId="0" applyNumberFormat="1" applyFont="1" applyBorder="1"/>
    <xf numFmtId="171" fontId="43" fillId="0" borderId="10" xfId="0" applyNumberFormat="1" applyFont="1" applyBorder="1"/>
    <xf numFmtId="171" fontId="46" fillId="0" borderId="10" xfId="0" applyNumberFormat="1" applyFont="1" applyBorder="1" applyAlignment="1">
      <alignment wrapText="1"/>
    </xf>
    <xf numFmtId="164" fontId="4" fillId="8" borderId="21" xfId="0" applyNumberFormat="1" applyFont="1" applyFill="1" applyBorder="1" applyAlignment="1">
      <alignment horizontal="center"/>
    </xf>
    <xf numFmtId="164" fontId="33" fillId="8" borderId="61" xfId="0" applyNumberFormat="1" applyFont="1" applyFill="1" applyBorder="1" applyAlignment="1">
      <alignment horizontal="center"/>
    </xf>
    <xf numFmtId="164" fontId="1" fillId="0" borderId="90" xfId="0" applyNumberFormat="1" applyFont="1" applyBorder="1" applyAlignment="1">
      <alignment horizontal="center"/>
    </xf>
    <xf numFmtId="164" fontId="1" fillId="0" borderId="72" xfId="0" applyNumberFormat="1" applyFont="1" applyBorder="1" applyAlignment="1">
      <alignment horizontal="center"/>
    </xf>
    <xf numFmtId="164" fontId="7" fillId="8" borderId="22" xfId="0" applyNumberFormat="1" applyFont="1" applyFill="1" applyBorder="1" applyAlignment="1">
      <alignment horizontal="center"/>
    </xf>
    <xf numFmtId="164" fontId="52" fillId="8" borderId="23" xfId="0" applyNumberFormat="1" applyFont="1" applyFill="1" applyBorder="1" applyAlignment="1">
      <alignment horizontal="center"/>
    </xf>
    <xf numFmtId="164" fontId="7" fillId="0" borderId="71" xfId="0" applyNumberFormat="1" applyFont="1" applyBorder="1" applyAlignment="1">
      <alignment horizontal="center"/>
    </xf>
    <xf numFmtId="164" fontId="7" fillId="0" borderId="73" xfId="0" applyNumberFormat="1" applyFont="1" applyBorder="1" applyAlignment="1">
      <alignment horizontal="center"/>
    </xf>
    <xf numFmtId="164" fontId="7" fillId="0" borderId="45" xfId="0" applyNumberFormat="1" applyFont="1" applyBorder="1" applyAlignment="1">
      <alignment horizontal="center"/>
    </xf>
    <xf numFmtId="164" fontId="7" fillId="0" borderId="30" xfId="0" applyNumberFormat="1" applyFont="1" applyBorder="1" applyAlignment="1">
      <alignment horizontal="center"/>
    </xf>
    <xf numFmtId="164" fontId="7" fillId="8" borderId="25" xfId="0" applyNumberFormat="1" applyFont="1" applyFill="1" applyBorder="1" applyAlignment="1">
      <alignment horizontal="center"/>
    </xf>
    <xf numFmtId="164" fontId="52" fillId="12" borderId="21" xfId="0" applyNumberFormat="1" applyFont="1" applyFill="1" applyBorder="1" applyAlignment="1">
      <alignment horizontal="center"/>
    </xf>
    <xf numFmtId="42" fontId="23" fillId="8" borderId="10" xfId="0" applyNumberFormat="1" applyFont="1" applyFill="1" applyBorder="1"/>
    <xf numFmtId="0" fontId="5" fillId="0" borderId="40" xfId="0" applyFont="1" applyBorder="1" applyAlignment="1">
      <alignment wrapText="1"/>
    </xf>
    <xf numFmtId="164" fontId="16" fillId="5" borderId="15" xfId="0" applyNumberFormat="1" applyFont="1" applyFill="1" applyBorder="1" applyAlignment="1">
      <alignment horizontal="center"/>
    </xf>
    <xf numFmtId="42" fontId="23" fillId="0" borderId="107" xfId="0" applyNumberFormat="1" applyFont="1" applyBorder="1"/>
    <xf numFmtId="171" fontId="23" fillId="5" borderId="10" xfId="0" applyNumberFormat="1" applyFont="1" applyFill="1" applyBorder="1" applyAlignment="1">
      <alignment horizontal="right"/>
    </xf>
    <xf numFmtId="171" fontId="23" fillId="0" borderId="107" xfId="0" applyNumberFormat="1" applyFont="1" applyBorder="1" applyAlignment="1">
      <alignment horizontal="right"/>
    </xf>
    <xf numFmtId="164" fontId="21" fillId="0" borderId="110" xfId="0" applyNumberFormat="1" applyFont="1" applyBorder="1" applyAlignment="1">
      <alignment horizontal="center"/>
    </xf>
    <xf numFmtId="164" fontId="21" fillId="0" borderId="118" xfId="0" applyNumberFormat="1" applyFont="1" applyBorder="1" applyAlignment="1">
      <alignment horizontal="center"/>
    </xf>
    <xf numFmtId="171" fontId="21" fillId="8" borderId="20" xfId="0" applyNumberFormat="1" applyFont="1" applyFill="1" applyBorder="1" applyAlignment="1">
      <alignment horizontal="right"/>
    </xf>
    <xf numFmtId="171" fontId="11" fillId="8" borderId="50" xfId="0" applyNumberFormat="1" applyFont="1" applyFill="1" applyBorder="1" applyAlignment="1">
      <alignment horizontal="right"/>
    </xf>
    <xf numFmtId="164" fontId="17" fillId="0" borderId="10" xfId="0" applyNumberFormat="1" applyFont="1" applyBorder="1" applyAlignment="1">
      <alignment horizontal="center"/>
    </xf>
    <xf numFmtId="164" fontId="17" fillId="0" borderId="15" xfId="0" applyNumberFormat="1" applyFont="1" applyBorder="1" applyAlignment="1">
      <alignment horizontal="center"/>
    </xf>
    <xf numFmtId="164" fontId="7" fillId="0" borderId="41" xfId="0" applyNumberFormat="1" applyFont="1" applyBorder="1" applyAlignment="1">
      <alignment horizontal="center"/>
    </xf>
    <xf numFmtId="164" fontId="33" fillId="0" borderId="60" xfId="0" applyNumberFormat="1" applyFont="1" applyBorder="1" applyAlignment="1">
      <alignment horizontal="center"/>
    </xf>
    <xf numFmtId="164" fontId="13" fillId="0" borderId="26" xfId="0" applyNumberFormat="1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164" fontId="7" fillId="8" borderId="23" xfId="0" applyNumberFormat="1" applyFont="1" applyFill="1" applyBorder="1" applyAlignment="1">
      <alignment horizontal="center"/>
    </xf>
    <xf numFmtId="164" fontId="16" fillId="0" borderId="121" xfId="0" applyNumberFormat="1" applyFont="1" applyBorder="1" applyAlignment="1">
      <alignment horizontal="center"/>
    </xf>
    <xf numFmtId="164" fontId="16" fillId="0" borderId="41" xfId="0" applyNumberFormat="1" applyFont="1" applyBorder="1" applyAlignment="1">
      <alignment horizontal="center"/>
    </xf>
    <xf numFmtId="164" fontId="16" fillId="0" borderId="52" xfId="0" applyNumberFormat="1" applyFont="1" applyBorder="1" applyAlignment="1">
      <alignment horizontal="center"/>
    </xf>
    <xf numFmtId="164" fontId="16" fillId="8" borderId="51" xfId="0" applyNumberFormat="1" applyFont="1" applyFill="1" applyBorder="1" applyAlignment="1">
      <alignment horizontal="center"/>
    </xf>
    <xf numFmtId="164" fontId="5" fillId="8" borderId="51" xfId="0" applyNumberFormat="1" applyFont="1" applyFill="1" applyBorder="1" applyAlignment="1">
      <alignment horizontal="center"/>
    </xf>
    <xf numFmtId="164" fontId="4" fillId="8" borderId="51" xfId="0" applyNumberFormat="1" applyFont="1" applyFill="1" applyBorder="1" applyAlignment="1">
      <alignment horizontal="center"/>
    </xf>
    <xf numFmtId="164" fontId="16" fillId="8" borderId="84" xfId="0" applyNumberFormat="1" applyFont="1" applyFill="1" applyBorder="1" applyAlignment="1">
      <alignment horizontal="center"/>
    </xf>
    <xf numFmtId="3" fontId="3" fillId="0" borderId="1" xfId="0" applyNumberFormat="1" applyFont="1" applyBorder="1"/>
    <xf numFmtId="0" fontId="3" fillId="0" borderId="85" xfId="0" applyFont="1" applyBorder="1"/>
    <xf numFmtId="0" fontId="3" fillId="0" borderId="34" xfId="0" applyFont="1" applyBorder="1"/>
    <xf numFmtId="3" fontId="3" fillId="0" borderId="34" xfId="0" applyNumberFormat="1" applyFont="1" applyBorder="1"/>
    <xf numFmtId="3" fontId="3" fillId="0" borderId="35" xfId="0" applyNumberFormat="1" applyFont="1" applyBorder="1"/>
    <xf numFmtId="3" fontId="3" fillId="0" borderId="110" xfId="0" applyNumberFormat="1" applyFont="1" applyBorder="1"/>
    <xf numFmtId="3" fontId="53" fillId="0" borderId="87" xfId="0" applyNumberFormat="1" applyFont="1" applyBorder="1"/>
    <xf numFmtId="3" fontId="54" fillId="0" borderId="10" xfId="0" applyNumberFormat="1" applyFont="1" applyBorder="1"/>
    <xf numFmtId="164" fontId="21" fillId="0" borderId="30" xfId="0" applyNumberFormat="1" applyFont="1" applyBorder="1" applyAlignment="1">
      <alignment horizontal="center"/>
    </xf>
    <xf numFmtId="164" fontId="21" fillId="0" borderId="119" xfId="0" applyNumberFormat="1" applyFont="1" applyBorder="1" applyAlignment="1">
      <alignment horizontal="center"/>
    </xf>
    <xf numFmtId="164" fontId="35" fillId="5" borderId="31" xfId="0" applyNumberFormat="1" applyFont="1" applyFill="1" applyBorder="1"/>
    <xf numFmtId="164" fontId="4" fillId="0" borderId="130" xfId="0" applyNumberFormat="1" applyFont="1" applyBorder="1" applyAlignment="1">
      <alignment horizontal="center"/>
    </xf>
    <xf numFmtId="164" fontId="4" fillId="0" borderId="53" xfId="0" applyNumberFormat="1" applyFont="1" applyBorder="1" applyAlignment="1">
      <alignment horizontal="center"/>
    </xf>
    <xf numFmtId="164" fontId="4" fillId="0" borderId="55" xfId="0" applyNumberFormat="1" applyFont="1" applyBorder="1" applyAlignment="1">
      <alignment horizontal="center"/>
    </xf>
    <xf numFmtId="0" fontId="55" fillId="0" borderId="1" xfId="0" applyFont="1" applyBorder="1" applyAlignment="1">
      <alignment horizontal="right" wrapText="1"/>
    </xf>
    <xf numFmtId="0" fontId="3" fillId="0" borderId="34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0" xfId="0" applyFont="1" applyBorder="1" applyAlignment="1">
      <alignment horizontal="center"/>
    </xf>
    <xf numFmtId="172" fontId="44" fillId="0" borderId="1" xfId="0" applyNumberFormat="1" applyFont="1" applyBorder="1" applyAlignment="1">
      <alignment wrapText="1"/>
    </xf>
    <xf numFmtId="164" fontId="33" fillId="8" borderId="96" xfId="0" applyNumberFormat="1" applyFont="1" applyFill="1" applyBorder="1" applyAlignment="1">
      <alignment horizontal="center"/>
    </xf>
    <xf numFmtId="0" fontId="5" fillId="0" borderId="41" xfId="0" applyFont="1" applyBorder="1"/>
    <xf numFmtId="0" fontId="5" fillId="0" borderId="127" xfId="0" applyFont="1" applyBorder="1"/>
    <xf numFmtId="0" fontId="5" fillId="0" borderId="7" xfId="0" applyFont="1" applyBorder="1"/>
    <xf numFmtId="170" fontId="5" fillId="0" borderId="7" xfId="0" applyNumberFormat="1" applyFont="1" applyBorder="1"/>
    <xf numFmtId="170" fontId="5" fillId="0" borderId="114" xfId="0" applyNumberFormat="1" applyFont="1" applyBorder="1"/>
    <xf numFmtId="170" fontId="5" fillId="0" borderId="41" xfId="0" applyNumberFormat="1" applyFont="1" applyBorder="1"/>
    <xf numFmtId="169" fontId="4" fillId="0" borderId="1" xfId="0" applyNumberFormat="1" applyFont="1" applyBorder="1" applyAlignment="1">
      <alignment horizontal="center"/>
    </xf>
    <xf numFmtId="7" fontId="15" fillId="0" borderId="22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0" fontId="56" fillId="0" borderId="10" xfId="0" applyNumberFormat="1" applyFont="1" applyBorder="1"/>
    <xf numFmtId="0" fontId="19" fillId="0" borderId="41" xfId="0" applyFont="1" applyBorder="1" applyAlignment="1">
      <alignment horizontal="center"/>
    </xf>
    <xf numFmtId="173" fontId="40" fillId="0" borderId="22" xfId="0" applyNumberFormat="1" applyFont="1" applyBorder="1"/>
    <xf numFmtId="172" fontId="40" fillId="0" borderId="22" xfId="0" applyNumberFormat="1" applyFont="1" applyBorder="1"/>
    <xf numFmtId="42" fontId="40" fillId="0" borderId="22" xfId="0" applyNumberFormat="1" applyFont="1" applyBorder="1"/>
    <xf numFmtId="171" fontId="40" fillId="0" borderId="22" xfId="0" applyNumberFormat="1" applyFont="1" applyBorder="1"/>
    <xf numFmtId="0" fontId="49" fillId="0" borderId="1" xfId="0" applyFont="1" applyBorder="1"/>
    <xf numFmtId="0" fontId="41" fillId="0" borderId="1" xfId="0" applyFont="1" applyBorder="1" applyAlignment="1">
      <alignment wrapText="1"/>
    </xf>
    <xf numFmtId="171" fontId="40" fillId="0" borderId="31" xfId="0" applyNumberFormat="1" applyFont="1" applyBorder="1"/>
    <xf numFmtId="171" fontId="40" fillId="0" borderId="30" xfId="0" applyNumberFormat="1" applyFont="1" applyBorder="1"/>
    <xf numFmtId="171" fontId="40" fillId="0" borderId="119" xfId="0" applyNumberFormat="1" applyFont="1" applyBorder="1"/>
    <xf numFmtId="171" fontId="40" fillId="0" borderId="109" xfId="0" applyNumberFormat="1" applyFont="1" applyBorder="1"/>
    <xf numFmtId="171" fontId="40" fillId="0" borderId="87" xfId="0" applyNumberFormat="1" applyFont="1" applyBorder="1"/>
    <xf numFmtId="171" fontId="40" fillId="0" borderId="110" xfId="0" applyNumberFormat="1" applyFont="1" applyBorder="1"/>
    <xf numFmtId="171" fontId="40" fillId="0" borderId="118" xfId="0" applyNumberFormat="1" applyFont="1" applyBorder="1"/>
    <xf numFmtId="173" fontId="40" fillId="0" borderId="30" xfId="0" applyNumberFormat="1" applyFont="1" applyBorder="1"/>
    <xf numFmtId="0" fontId="40" fillId="0" borderId="110" xfId="0" applyFont="1" applyBorder="1"/>
    <xf numFmtId="164" fontId="7" fillId="0" borderId="6" xfId="0" applyNumberFormat="1" applyFont="1" applyBorder="1" applyAlignment="1">
      <alignment horizontal="center"/>
    </xf>
    <xf numFmtId="164" fontId="7" fillId="0" borderId="131" xfId="0" applyNumberFormat="1" applyFont="1" applyBorder="1" applyAlignment="1">
      <alignment horizontal="center"/>
    </xf>
    <xf numFmtId="164" fontId="7" fillId="0" borderId="132" xfId="0" applyNumberFormat="1" applyFont="1" applyBorder="1" applyAlignment="1">
      <alignment horizontal="center"/>
    </xf>
    <xf numFmtId="164" fontId="7" fillId="0" borderId="79" xfId="0" applyNumberFormat="1" applyFont="1" applyBorder="1" applyAlignment="1">
      <alignment horizontal="center"/>
    </xf>
    <xf numFmtId="164" fontId="7" fillId="8" borderId="49" xfId="0" applyNumberFormat="1" applyFont="1" applyFill="1" applyBorder="1" applyAlignment="1">
      <alignment horizontal="center"/>
    </xf>
    <xf numFmtId="164" fontId="7" fillId="8" borderId="61" xfId="0" applyNumberFormat="1" applyFont="1" applyFill="1" applyBorder="1" applyAlignment="1">
      <alignment horizontal="center"/>
    </xf>
    <xf numFmtId="164" fontId="13" fillId="8" borderId="22" xfId="0" applyNumberFormat="1" applyFont="1" applyFill="1" applyBorder="1" applyAlignment="1">
      <alignment horizontal="center"/>
    </xf>
    <xf numFmtId="164" fontId="19" fillId="0" borderId="1" xfId="0" applyNumberFormat="1" applyFont="1" applyBorder="1"/>
    <xf numFmtId="164" fontId="0" fillId="0" borderId="0" xfId="0" applyNumberFormat="1"/>
    <xf numFmtId="0" fontId="19" fillId="0" borderId="32" xfId="0" applyFont="1" applyBorder="1" applyAlignment="1">
      <alignment vertical="top" wrapText="1"/>
    </xf>
    <xf numFmtId="171" fontId="0" fillId="0" borderId="45" xfId="0" applyNumberFormat="1" applyBorder="1"/>
    <xf numFmtId="171" fontId="0" fillId="0" borderId="30" xfId="0" applyNumberFormat="1" applyBorder="1"/>
    <xf numFmtId="171" fontId="0" fillId="0" borderId="119" xfId="0" applyNumberFormat="1" applyBorder="1"/>
    <xf numFmtId="171" fontId="0" fillId="0" borderId="22" xfId="0" applyNumberFormat="1" applyBorder="1"/>
    <xf numFmtId="171" fontId="0" fillId="0" borderId="31" xfId="0" applyNumberFormat="1" applyBorder="1"/>
    <xf numFmtId="171" fontId="0" fillId="0" borderId="110" xfId="0" applyNumberFormat="1" applyBorder="1"/>
    <xf numFmtId="171" fontId="0" fillId="0" borderId="118" xfId="0" applyNumberFormat="1" applyBorder="1"/>
    <xf numFmtId="171" fontId="0" fillId="0" borderId="86" xfId="0" applyNumberFormat="1" applyBorder="1"/>
    <xf numFmtId="0" fontId="0" fillId="0" borderId="41" xfId="0" applyBorder="1"/>
    <xf numFmtId="0" fontId="0" fillId="0" borderId="26" xfId="0" applyBorder="1"/>
    <xf numFmtId="171" fontId="0" fillId="0" borderId="39" xfId="0" applyNumberFormat="1" applyBorder="1"/>
    <xf numFmtId="171" fontId="0" fillId="0" borderId="133" xfId="0" applyNumberFormat="1" applyBorder="1"/>
    <xf numFmtId="171" fontId="0" fillId="0" borderId="109" xfId="0" applyNumberFormat="1" applyBorder="1"/>
    <xf numFmtId="171" fontId="0" fillId="0" borderId="87" xfId="0" applyNumberFormat="1" applyBorder="1"/>
    <xf numFmtId="0" fontId="34" fillId="0" borderId="41" xfId="0" applyFont="1" applyBorder="1" applyAlignment="1">
      <alignment horizontal="center"/>
    </xf>
    <xf numFmtId="0" fontId="0" fillId="0" borderId="103" xfId="0" applyBorder="1" applyAlignment="1">
      <alignment vertical="top" wrapText="1"/>
    </xf>
    <xf numFmtId="0" fontId="19" fillId="0" borderId="40" xfId="0" applyFont="1" applyBorder="1" applyAlignment="1">
      <alignment vertical="top" wrapText="1"/>
    </xf>
    <xf numFmtId="0" fontId="19" fillId="0" borderId="33" xfId="0" applyFont="1" applyBorder="1" applyAlignment="1">
      <alignment vertical="top" wrapText="1"/>
    </xf>
    <xf numFmtId="171" fontId="0" fillId="0" borderId="73" xfId="0" applyNumberFormat="1" applyBorder="1"/>
    <xf numFmtId="0" fontId="39" fillId="5" borderId="0" xfId="0" applyFont="1" applyFill="1"/>
    <xf numFmtId="0" fontId="42" fillId="0" borderId="124" xfId="0" applyFont="1" applyBorder="1" applyAlignment="1">
      <alignment horizontal="right"/>
    </xf>
    <xf numFmtId="0" fontId="43" fillId="0" borderId="106" xfId="0" applyFont="1" applyBorder="1" applyAlignment="1">
      <alignment wrapText="1"/>
    </xf>
    <xf numFmtId="171" fontId="43" fillId="9" borderId="53" xfId="0" applyNumberFormat="1" applyFont="1" applyFill="1" applyBorder="1"/>
    <xf numFmtId="171" fontId="46" fillId="9" borderId="19" xfId="0" applyNumberFormat="1" applyFont="1" applyFill="1" applyBorder="1"/>
    <xf numFmtId="171" fontId="43" fillId="10" borderId="10" xfId="0" applyNumberFormat="1" applyFont="1" applyFill="1" applyBorder="1"/>
    <xf numFmtId="171" fontId="46" fillId="0" borderId="107" xfId="0" applyNumberFormat="1" applyFont="1" applyBorder="1"/>
    <xf numFmtId="0" fontId="42" fillId="0" borderId="19" xfId="0" applyFont="1" applyBorder="1" applyAlignment="1">
      <alignment horizontal="right"/>
    </xf>
    <xf numFmtId="42" fontId="43" fillId="9" borderId="20" xfId="0" applyNumberFormat="1" applyFont="1" applyFill="1" applyBorder="1"/>
    <xf numFmtId="42" fontId="43" fillId="0" borderId="107" xfId="0" applyNumberFormat="1" applyFont="1" applyBorder="1"/>
    <xf numFmtId="173" fontId="46" fillId="10" borderId="10" xfId="0" applyNumberFormat="1" applyFont="1" applyFill="1" applyBorder="1"/>
    <xf numFmtId="173" fontId="46" fillId="8" borderId="10" xfId="0" applyNumberFormat="1" applyFont="1" applyFill="1" applyBorder="1"/>
    <xf numFmtId="0" fontId="40" fillId="0" borderId="30" xfId="0" applyFont="1" applyBorder="1"/>
    <xf numFmtId="0" fontId="41" fillId="0" borderId="83" xfId="0" applyFont="1" applyBorder="1"/>
    <xf numFmtId="171" fontId="40" fillId="0" borderId="33" xfId="0" applyNumberFormat="1" applyFont="1" applyBorder="1"/>
    <xf numFmtId="171" fontId="40" fillId="0" borderId="0" xfId="0" applyNumberFormat="1" applyFont="1"/>
    <xf numFmtId="0" fontId="45" fillId="0" borderId="35" xfId="0" applyFont="1" applyBorder="1"/>
    <xf numFmtId="0" fontId="45" fillId="0" borderId="31" xfId="0" applyFont="1" applyBorder="1"/>
    <xf numFmtId="0" fontId="43" fillId="0" borderId="33" xfId="0" applyFont="1" applyBorder="1"/>
    <xf numFmtId="43" fontId="40" fillId="0" borderId="1" xfId="0" applyNumberFormat="1" applyFont="1" applyBorder="1"/>
    <xf numFmtId="0" fontId="44" fillId="0" borderId="41" xfId="0" applyFont="1" applyBorder="1" applyAlignment="1">
      <alignment wrapText="1"/>
    </xf>
    <xf numFmtId="171" fontId="57" fillId="0" borderId="1" xfId="0" applyNumberFormat="1" applyFont="1" applyBorder="1"/>
    <xf numFmtId="172" fontId="57" fillId="0" borderId="30" xfId="0" applyNumberFormat="1" applyFont="1" applyBorder="1"/>
    <xf numFmtId="172" fontId="45" fillId="0" borderId="1" xfId="0" applyNumberFormat="1" applyFont="1" applyBorder="1"/>
    <xf numFmtId="42" fontId="45" fillId="0" borderId="1" xfId="0" applyNumberFormat="1" applyFont="1" applyBorder="1"/>
    <xf numFmtId="10" fontId="45" fillId="0" borderId="1" xfId="0" applyNumberFormat="1" applyFont="1" applyBorder="1"/>
    <xf numFmtId="0" fontId="43" fillId="0" borderId="119" xfId="0" applyFont="1" applyBorder="1"/>
    <xf numFmtId="0" fontId="40" fillId="0" borderId="14" xfId="0" applyFont="1" applyBorder="1"/>
    <xf numFmtId="0" fontId="40" fillId="0" borderId="37" xfId="0" applyFont="1" applyBorder="1"/>
    <xf numFmtId="0" fontId="40" fillId="0" borderId="60" xfId="0" applyFont="1" applyBorder="1"/>
    <xf numFmtId="0" fontId="45" fillId="0" borderId="72" xfId="0" applyFont="1" applyBorder="1" applyAlignment="1">
      <alignment wrapText="1"/>
    </xf>
    <xf numFmtId="42" fontId="46" fillId="0" borderId="10" xfId="0" applyNumberFormat="1" applyFont="1" applyBorder="1"/>
    <xf numFmtId="164" fontId="58" fillId="0" borderId="1" xfId="0" applyNumberFormat="1" applyFont="1" applyBorder="1"/>
    <xf numFmtId="164" fontId="23" fillId="0" borderId="1" xfId="0" applyNumberFormat="1" applyFont="1" applyBorder="1"/>
    <xf numFmtId="171" fontId="19" fillId="0" borderId="0" xfId="0" applyNumberFormat="1" applyFont="1"/>
    <xf numFmtId="171" fontId="34" fillId="8" borderId="61" xfId="0" applyNumberFormat="1" applyFont="1" applyFill="1" applyBorder="1"/>
    <xf numFmtId="164" fontId="5" fillId="3" borderId="36" xfId="0" applyNumberFormat="1" applyFont="1" applyFill="1" applyBorder="1" applyAlignment="1">
      <alignment horizontal="center"/>
    </xf>
    <xf numFmtId="169" fontId="4" fillId="3" borderId="134" xfId="0" applyNumberFormat="1" applyFont="1" applyFill="1" applyBorder="1" applyAlignment="1">
      <alignment horizontal="center"/>
    </xf>
    <xf numFmtId="169" fontId="4" fillId="0" borderId="4" xfId="0" applyNumberFormat="1" applyFont="1" applyBorder="1" applyAlignment="1">
      <alignment horizontal="center"/>
    </xf>
    <xf numFmtId="37" fontId="5" fillId="0" borderId="5" xfId="0" applyNumberFormat="1" applyFont="1" applyBorder="1" applyAlignment="1">
      <alignment horizontal="center"/>
    </xf>
    <xf numFmtId="169" fontId="5" fillId="3" borderId="17" xfId="0" applyNumberFormat="1" applyFont="1" applyFill="1" applyBorder="1" applyAlignment="1">
      <alignment horizontal="center"/>
    </xf>
    <xf numFmtId="37" fontId="5" fillId="0" borderId="135" xfId="0" applyNumberFormat="1" applyFont="1" applyBorder="1" applyAlignment="1">
      <alignment horizontal="center"/>
    </xf>
    <xf numFmtId="0" fontId="7" fillId="0" borderId="104" xfId="0" applyFont="1" applyBorder="1" applyAlignment="1">
      <alignment horizontal="center"/>
    </xf>
    <xf numFmtId="169" fontId="5" fillId="3" borderId="136" xfId="0" applyNumberFormat="1" applyFont="1" applyFill="1" applyBorder="1" applyAlignment="1">
      <alignment horizontal="center"/>
    </xf>
    <xf numFmtId="0" fontId="7" fillId="0" borderId="78" xfId="0" applyFont="1" applyBorder="1" applyAlignment="1">
      <alignment horizontal="center"/>
    </xf>
    <xf numFmtId="164" fontId="17" fillId="5" borderId="137" xfId="0" applyNumberFormat="1" applyFont="1" applyFill="1" applyBorder="1" applyAlignment="1">
      <alignment horizontal="center"/>
    </xf>
    <xf numFmtId="164" fontId="4" fillId="0" borderId="39" xfId="0" applyNumberFormat="1" applyFont="1" applyBorder="1" applyAlignment="1">
      <alignment horizontal="center"/>
    </xf>
    <xf numFmtId="164" fontId="4" fillId="0" borderId="31" xfId="0" applyNumberFormat="1" applyFont="1" applyBorder="1" applyAlignment="1">
      <alignment horizontal="center"/>
    </xf>
    <xf numFmtId="164" fontId="17" fillId="5" borderId="58" xfId="0" applyNumberFormat="1" applyFont="1" applyFill="1" applyBorder="1" applyAlignment="1">
      <alignment horizontal="center"/>
    </xf>
    <xf numFmtId="167" fontId="3" fillId="0" borderId="1" xfId="0" applyNumberFormat="1" applyFont="1" applyBorder="1"/>
    <xf numFmtId="0" fontId="4" fillId="0" borderId="1" xfId="0" applyFont="1" applyBorder="1" applyAlignment="1">
      <alignment horizontal="center" vertical="top" wrapText="1"/>
    </xf>
    <xf numFmtId="167" fontId="33" fillId="0" borderId="106" xfId="0" applyNumberFormat="1" applyFont="1" applyBorder="1" applyAlignment="1">
      <alignment horizontal="center" wrapText="1"/>
    </xf>
    <xf numFmtId="0" fontId="0" fillId="0" borderId="107" xfId="0" applyBorder="1" applyAlignment="1">
      <alignment horizontal="center" wrapText="1"/>
    </xf>
    <xf numFmtId="0" fontId="0" fillId="0" borderId="123" xfId="0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4" fillId="4" borderId="12" xfId="0" applyFont="1" applyFill="1" applyBorder="1" applyAlignment="1">
      <alignment horizontal="center" vertical="top" wrapText="1"/>
    </xf>
    <xf numFmtId="0" fontId="0" fillId="0" borderId="60" xfId="0" applyBorder="1" applyAlignment="1">
      <alignment horizontal="center" vertical="top" wrapText="1"/>
    </xf>
    <xf numFmtId="0" fontId="31" fillId="0" borderId="106" xfId="0" applyFont="1" applyBorder="1" applyAlignment="1">
      <alignment horizontal="center" wrapText="1"/>
    </xf>
    <xf numFmtId="0" fontId="31" fillId="0" borderId="107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4" fillId="4" borderId="47" xfId="0" applyFont="1" applyFill="1" applyBorder="1" applyAlignment="1">
      <alignment horizontal="center" vertical="top" wrapText="1"/>
    </xf>
    <xf numFmtId="0" fontId="0" fillId="0" borderId="45" xfId="0" applyBorder="1" applyAlignment="1">
      <alignment horizontal="center" vertical="top" wrapText="1"/>
    </xf>
    <xf numFmtId="0" fontId="29" fillId="0" borderId="12" xfId="0" applyFont="1" applyBorder="1" applyAlignment="1">
      <alignment wrapText="1"/>
    </xf>
    <xf numFmtId="0" fontId="30" fillId="0" borderId="36" xfId="0" applyFont="1" applyBorder="1" applyAlignment="1">
      <alignment wrapText="1"/>
    </xf>
    <xf numFmtId="0" fontId="30" fillId="0" borderId="13" xfId="0" applyFont="1" applyBorder="1" applyAlignment="1">
      <alignment wrapText="1"/>
    </xf>
    <xf numFmtId="0" fontId="3" fillId="3" borderId="85" xfId="0" applyFont="1" applyFill="1" applyBorder="1" applyAlignment="1">
      <alignment horizontal="center"/>
    </xf>
    <xf numFmtId="0" fontId="11" fillId="0" borderId="34" xfId="0" applyFont="1" applyBorder="1"/>
    <xf numFmtId="0" fontId="4" fillId="4" borderId="13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4" fillId="4" borderId="19" xfId="0" applyFont="1" applyFill="1" applyBorder="1" applyAlignment="1">
      <alignment horizontal="center" vertical="top" wrapText="1"/>
    </xf>
    <xf numFmtId="0" fontId="0" fillId="0" borderId="61" xfId="0" applyBorder="1" applyAlignment="1">
      <alignment horizontal="center" vertical="top" wrapText="1"/>
    </xf>
    <xf numFmtId="168" fontId="4" fillId="3" borderId="88" xfId="0" applyNumberFormat="1" applyFont="1" applyFill="1" applyBorder="1" applyAlignment="1">
      <alignment horizontal="center" wrapText="1"/>
    </xf>
    <xf numFmtId="0" fontId="34" fillId="0" borderId="86" xfId="0" applyFont="1" applyBorder="1" applyAlignment="1">
      <alignment horizontal="center" wrapText="1"/>
    </xf>
    <xf numFmtId="166" fontId="5" fillId="0" borderId="1" xfId="0" applyNumberFormat="1" applyFont="1" applyBorder="1" applyAlignment="1">
      <alignment wrapText="1"/>
    </xf>
    <xf numFmtId="0" fontId="0" fillId="0" borderId="14" xfId="0" applyBorder="1" applyAlignment="1">
      <alignment wrapText="1"/>
    </xf>
    <xf numFmtId="164" fontId="4" fillId="0" borderId="120" xfId="0" applyNumberFormat="1" applyFont="1" applyBorder="1" applyAlignment="1">
      <alignment horizontal="center" wrapText="1"/>
    </xf>
    <xf numFmtId="0" fontId="0" fillId="0" borderId="128" xfId="0" applyBorder="1" applyAlignment="1">
      <alignment horizontal="center" wrapText="1"/>
    </xf>
    <xf numFmtId="0" fontId="0" fillId="0" borderId="129" xfId="0" applyBorder="1" applyAlignment="1">
      <alignment horizontal="center" wrapText="1"/>
    </xf>
    <xf numFmtId="164" fontId="4" fillId="0" borderId="60" xfId="0" applyNumberFormat="1" applyFont="1" applyBorder="1" applyAlignment="1">
      <alignment horizontal="center" wrapText="1"/>
    </xf>
    <xf numFmtId="0" fontId="0" fillId="0" borderId="72" xfId="0" applyBorder="1" applyAlignment="1">
      <alignment horizontal="center" wrapText="1"/>
    </xf>
    <xf numFmtId="0" fontId="0" fillId="0" borderId="9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1" fillId="0" borderId="106" xfId="0" applyFont="1" applyBorder="1" applyAlignment="1">
      <alignment wrapText="1"/>
    </xf>
    <xf numFmtId="0" fontId="0" fillId="0" borderId="107" xfId="0" applyBorder="1" applyAlignment="1">
      <alignment wrapText="1"/>
    </xf>
    <xf numFmtId="0" fontId="0" fillId="0" borderId="123" xfId="0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22" fillId="0" borderId="85" xfId="0" applyFont="1" applyBorder="1" applyAlignment="1">
      <alignment horizontal="right" wrapText="1"/>
    </xf>
    <xf numFmtId="0" fontId="0" fillId="0" borderId="34" xfId="0" applyBorder="1" applyAlignment="1">
      <alignment wrapText="1"/>
    </xf>
    <xf numFmtId="0" fontId="22" fillId="0" borderId="39" xfId="0" applyFont="1" applyBorder="1" applyAlignment="1">
      <alignment horizontal="right"/>
    </xf>
    <xf numFmtId="0" fontId="0" fillId="0" borderId="22" xfId="0" applyBorder="1"/>
    <xf numFmtId="0" fontId="33" fillId="0" borderId="56" xfId="0" applyFont="1" applyBorder="1" applyAlignment="1">
      <alignment horizontal="right" wrapText="1"/>
    </xf>
    <xf numFmtId="0" fontId="0" fillId="0" borderId="80" xfId="0" applyBorder="1" applyAlignment="1">
      <alignment wrapText="1"/>
    </xf>
    <xf numFmtId="0" fontId="0" fillId="0" borderId="26" xfId="0" applyBorder="1" applyAlignment="1">
      <alignment wrapText="1"/>
    </xf>
    <xf numFmtId="0" fontId="40" fillId="0" borderId="56" xfId="0" applyFont="1" applyBorder="1" applyAlignment="1">
      <alignment wrapText="1"/>
    </xf>
    <xf numFmtId="0" fontId="43" fillId="5" borderId="106" xfId="0" applyFont="1" applyFill="1" applyBorder="1" applyAlignment="1">
      <alignment horizontal="center" wrapText="1"/>
    </xf>
    <xf numFmtId="0" fontId="0" fillId="5" borderId="107" xfId="0" applyFill="1" applyBorder="1" applyAlignment="1">
      <alignment horizontal="center" wrapText="1"/>
    </xf>
    <xf numFmtId="0" fontId="0" fillId="5" borderId="123" xfId="0" applyFill="1" applyBorder="1" applyAlignment="1">
      <alignment horizontal="center" wrapText="1"/>
    </xf>
    <xf numFmtId="164" fontId="5" fillId="0" borderId="122" xfId="0" applyNumberFormat="1" applyFont="1" applyBorder="1" applyAlignment="1">
      <alignment horizontal="right" wrapText="1"/>
    </xf>
    <xf numFmtId="0" fontId="0" fillId="0" borderId="122" xfId="0" applyBorder="1" applyAlignment="1">
      <alignment horizontal="right" wrapText="1"/>
    </xf>
    <xf numFmtId="171" fontId="43" fillId="0" borderId="106" xfId="0" applyNumberFormat="1" applyFont="1" applyBorder="1" applyAlignment="1">
      <alignment horizontal="right" wrapText="1"/>
    </xf>
    <xf numFmtId="0" fontId="0" fillId="0" borderId="107" xfId="0" applyBorder="1" applyAlignment="1">
      <alignment horizontal="right" wrapText="1"/>
    </xf>
    <xf numFmtId="0" fontId="45" fillId="0" borderId="116" xfId="0" applyFont="1" applyBorder="1" applyAlignment="1">
      <alignment horizontal="right" wrapText="1"/>
    </xf>
    <xf numFmtId="0" fontId="47" fillId="0" borderId="48" xfId="0" applyFont="1" applyBorder="1" applyAlignment="1">
      <alignment horizontal="right" wrapText="1"/>
    </xf>
    <xf numFmtId="0" fontId="45" fillId="0" borderId="56" xfId="0" applyFont="1" applyBorder="1" applyAlignment="1">
      <alignment horizontal="right" wrapText="1"/>
    </xf>
    <xf numFmtId="0" fontId="47" fillId="0" borderId="26" xfId="0" applyFont="1" applyBorder="1" applyAlignment="1">
      <alignment horizontal="right" wrapText="1"/>
    </xf>
    <xf numFmtId="0" fontId="43" fillId="0" borderId="37" xfId="0" applyFont="1" applyBorder="1" applyAlignment="1">
      <alignment horizontal="right" wrapText="1"/>
    </xf>
    <xf numFmtId="0" fontId="48" fillId="0" borderId="1" xfId="0" applyFont="1" applyBorder="1" applyAlignment="1">
      <alignment horizontal="right" wrapText="1"/>
    </xf>
    <xf numFmtId="0" fontId="0" fillId="0" borderId="37" xfId="0" applyBorder="1" applyAlignment="1">
      <alignment wrapText="1"/>
    </xf>
    <xf numFmtId="0" fontId="40" fillId="0" borderId="73" xfId="0" applyFont="1" applyBorder="1" applyAlignment="1">
      <alignment wrapText="1"/>
    </xf>
    <xf numFmtId="0" fontId="0" fillId="0" borderId="30" xfId="0" applyBorder="1" applyAlignment="1">
      <alignment wrapText="1"/>
    </xf>
    <xf numFmtId="0" fontId="50" fillId="0" borderId="116" xfId="0" applyFont="1" applyBorder="1"/>
    <xf numFmtId="0" fontId="51" fillId="0" borderId="117" xfId="0" applyFont="1" applyBorder="1"/>
    <xf numFmtId="0" fontId="40" fillId="0" borderId="39" xfId="0" applyFont="1" applyBorder="1" applyAlignment="1">
      <alignment horizontal="right" wrapText="1"/>
    </xf>
    <xf numFmtId="0" fontId="0" fillId="0" borderId="22" xfId="0" applyBorder="1" applyAlignment="1">
      <alignment horizontal="right" wrapText="1"/>
    </xf>
    <xf numFmtId="0" fontId="43" fillId="0" borderId="120" xfId="0" applyFont="1" applyBorder="1" applyAlignment="1">
      <alignment horizontal="right" wrapText="1"/>
    </xf>
    <xf numFmtId="0" fontId="48" fillId="0" borderId="103" xfId="0" applyFont="1" applyBorder="1" applyAlignment="1">
      <alignment horizontal="right" wrapText="1"/>
    </xf>
    <xf numFmtId="0" fontId="40" fillId="0" borderId="54" xfId="0" applyFont="1" applyBorder="1" applyAlignment="1">
      <alignment wrapText="1"/>
    </xf>
    <xf numFmtId="0" fontId="0" fillId="0" borderId="47" xfId="0" applyBorder="1" applyAlignment="1">
      <alignment wrapText="1"/>
    </xf>
    <xf numFmtId="0" fontId="40" fillId="0" borderId="120" xfId="0" applyFont="1" applyBorder="1" applyAlignment="1">
      <alignment wrapText="1"/>
    </xf>
    <xf numFmtId="0" fontId="0" fillId="0" borderId="103" xfId="0" applyBorder="1" applyAlignment="1">
      <alignment wrapText="1"/>
    </xf>
    <xf numFmtId="0" fontId="41" fillId="0" borderId="106" xfId="0" applyFont="1" applyBorder="1" applyAlignment="1">
      <alignment horizontal="right" wrapText="1"/>
    </xf>
    <xf numFmtId="0" fontId="34" fillId="0" borderId="115" xfId="0" applyFont="1" applyBorder="1" applyAlignment="1">
      <alignment horizontal="right" wrapText="1"/>
    </xf>
    <xf numFmtId="0" fontId="40" fillId="0" borderId="1" xfId="0" applyFont="1" applyBorder="1" applyAlignment="1">
      <alignment wrapText="1"/>
    </xf>
    <xf numFmtId="0" fontId="41" fillId="0" borderId="81" xfId="0" applyFont="1" applyBorder="1" applyAlignment="1">
      <alignment wrapText="1"/>
    </xf>
    <xf numFmtId="0" fontId="34" fillId="0" borderId="82" xfId="0" applyFont="1" applyBorder="1" applyAlignment="1">
      <alignment wrapText="1"/>
    </xf>
    <xf numFmtId="0" fontId="40" fillId="0" borderId="39" xfId="0" applyFont="1" applyBorder="1" applyAlignment="1">
      <alignment wrapText="1"/>
    </xf>
    <xf numFmtId="0" fontId="0" fillId="0" borderId="22" xfId="0" applyBorder="1" applyAlignment="1">
      <alignment wrapText="1"/>
    </xf>
    <xf numFmtId="0" fontId="40" fillId="0" borderId="40" xfId="0" applyFont="1" applyBorder="1" applyAlignment="1">
      <alignment wrapText="1"/>
    </xf>
    <xf numFmtId="0" fontId="0" fillId="0" borderId="32" xfId="0" applyBorder="1" applyAlignment="1">
      <alignment wrapText="1"/>
    </xf>
    <xf numFmtId="0" fontId="34" fillId="0" borderId="116" xfId="0" applyFont="1" applyBorder="1" applyAlignment="1">
      <alignment horizontal="center" wrapText="1"/>
    </xf>
    <xf numFmtId="0" fontId="34" fillId="0" borderId="117" xfId="0" applyFont="1" applyBorder="1" applyAlignment="1">
      <alignment horizontal="center" wrapText="1"/>
    </xf>
    <xf numFmtId="0" fontId="34" fillId="0" borderId="46" xfId="0" applyFont="1" applyBorder="1" applyAlignment="1">
      <alignment horizontal="center" wrapText="1"/>
    </xf>
    <xf numFmtId="4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B6DDE8"/>
    <pageSetUpPr fitToPage="1"/>
  </sheetPr>
  <dimension ref="A1:AK943"/>
  <sheetViews>
    <sheetView showGridLines="0" tabSelected="1" topLeftCell="A13" zoomScale="75" zoomScaleNormal="75" workbookViewId="0">
      <selection activeCell="AJ92" sqref="AJ92"/>
    </sheetView>
  </sheetViews>
  <sheetFormatPr defaultColWidth="14.44140625" defaultRowHeight="15.75" customHeight="1" x14ac:dyDescent="0.25"/>
  <cols>
    <col min="1" max="1" width="6.109375" customWidth="1"/>
    <col min="2" max="2" width="36.33203125" customWidth="1"/>
    <col min="3" max="3" width="46" customWidth="1"/>
    <col min="4" max="4" width="3.77734375" customWidth="1"/>
    <col min="5" max="5" width="7.109375" customWidth="1"/>
    <col min="6" max="6" width="7.44140625" customWidth="1"/>
    <col min="7" max="7" width="10.77734375" customWidth="1"/>
    <col min="8" max="8" width="12.44140625" customWidth="1"/>
    <col min="9" max="9" width="13.109375" customWidth="1"/>
    <col min="10" max="10" width="9.77734375" customWidth="1"/>
    <col min="11" max="14" width="20.77734375" customWidth="1"/>
    <col min="15" max="15" width="6.21875" customWidth="1"/>
    <col min="16" max="18" width="6.77734375" customWidth="1"/>
    <col min="19" max="19" width="14.44140625" customWidth="1"/>
    <col min="20" max="20" width="14.77734375" customWidth="1"/>
    <col min="21" max="24" width="6.77734375" customWidth="1"/>
    <col min="25" max="25" width="15.77734375" customWidth="1"/>
    <col min="26" max="29" width="6.77734375" customWidth="1"/>
    <col min="30" max="30" width="14.77734375" customWidth="1"/>
    <col min="31" max="34" width="6.77734375" customWidth="1"/>
    <col min="35" max="35" width="15.77734375" customWidth="1"/>
    <col min="36" max="36" width="18" customWidth="1"/>
  </cols>
  <sheetData>
    <row r="1" spans="1:36" ht="18" customHeight="1" x14ac:dyDescent="0.3">
      <c r="B1" s="1" t="s">
        <v>0</v>
      </c>
      <c r="C1" s="2" t="s">
        <v>24</v>
      </c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5"/>
      <c r="AH1" s="3"/>
      <c r="AI1" s="3"/>
      <c r="AJ1" s="3"/>
    </row>
    <row r="2" spans="1:36" ht="16.2" thickBot="1" x14ac:dyDescent="0.35">
      <c r="B2" s="6" t="s">
        <v>34</v>
      </c>
      <c r="C2" s="65">
        <v>45552</v>
      </c>
      <c r="D2" s="2"/>
      <c r="E2" s="7" t="s">
        <v>1</v>
      </c>
      <c r="F2" s="4"/>
      <c r="G2" s="4"/>
      <c r="H2" s="4"/>
      <c r="I2" s="4"/>
      <c r="J2" s="8"/>
      <c r="K2" s="8"/>
      <c r="L2" s="8"/>
      <c r="M2" s="8"/>
      <c r="N2" s="8"/>
      <c r="O2" s="8"/>
      <c r="P2" s="8"/>
      <c r="Q2" s="9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5"/>
      <c r="AH2" s="3"/>
      <c r="AI2" s="3"/>
      <c r="AJ2" s="3"/>
    </row>
    <row r="3" spans="1:36" ht="22.8" x14ac:dyDescent="0.4">
      <c r="B3" s="3"/>
      <c r="C3" s="10"/>
      <c r="D3" s="10"/>
      <c r="E3" s="627" t="s">
        <v>82</v>
      </c>
      <c r="F3" s="628"/>
      <c r="G3" s="628"/>
      <c r="H3" s="628"/>
      <c r="I3" s="629"/>
      <c r="J3" s="4"/>
      <c r="K3" s="4"/>
      <c r="L3" s="4"/>
      <c r="M3" s="4"/>
      <c r="N3" s="4"/>
      <c r="O3" s="4"/>
      <c r="P3" s="623" t="s">
        <v>2</v>
      </c>
      <c r="Q3" s="624"/>
      <c r="R3" s="624"/>
      <c r="S3" s="624"/>
      <c r="T3" s="624"/>
      <c r="U3" s="624"/>
      <c r="V3" s="624"/>
      <c r="W3" s="624"/>
      <c r="X3" s="624"/>
      <c r="Y3" s="4"/>
      <c r="Z3" s="4"/>
      <c r="AA3" s="4"/>
      <c r="AB3" s="4"/>
      <c r="AC3" s="4"/>
      <c r="AD3" s="4"/>
      <c r="AE3" s="11"/>
      <c r="AF3" s="10"/>
      <c r="AG3" s="10"/>
      <c r="AH3" s="3"/>
      <c r="AI3" s="3"/>
      <c r="AJ3" s="3"/>
    </row>
    <row r="4" spans="1:36" ht="16.2" thickBot="1" x14ac:dyDescent="0.35">
      <c r="B4" s="12" t="s">
        <v>3</v>
      </c>
      <c r="C4" s="12" t="s">
        <v>32</v>
      </c>
      <c r="D4" s="12"/>
      <c r="E4" s="126" t="s">
        <v>4</v>
      </c>
      <c r="F4" s="112"/>
      <c r="G4" s="112"/>
      <c r="H4" s="112"/>
      <c r="I4" s="127"/>
      <c r="J4" s="4"/>
      <c r="K4" s="4"/>
      <c r="L4" s="4"/>
      <c r="M4" s="4" t="s">
        <v>26</v>
      </c>
      <c r="N4" s="4"/>
      <c r="O4" s="4"/>
      <c r="P4" s="92" t="s">
        <v>26</v>
      </c>
      <c r="Q4" s="4"/>
      <c r="R4" s="13"/>
      <c r="S4" s="4"/>
      <c r="T4" s="4"/>
      <c r="U4" s="4"/>
      <c r="V4" s="4"/>
      <c r="W4" s="14"/>
      <c r="X4" s="15" t="s">
        <v>5</v>
      </c>
      <c r="Y4" s="16">
        <f>SUMIFS(P6:AJ6,P9:AJ9,"&gt;=1",P9:AJ9,"&lt;=10")</f>
        <v>0</v>
      </c>
      <c r="Z4" s="4"/>
      <c r="AA4" s="4"/>
      <c r="AB4" s="4"/>
      <c r="AC4" s="4"/>
      <c r="AD4" s="4"/>
      <c r="AE4" s="13"/>
      <c r="AF4" s="4"/>
      <c r="AG4" s="4"/>
      <c r="AH4" s="3" t="s">
        <v>264</v>
      </c>
      <c r="AI4" s="3"/>
      <c r="AJ4" s="3"/>
    </row>
    <row r="5" spans="1:36" ht="16.2" customHeight="1" thickBot="1" x14ac:dyDescent="0.35">
      <c r="B5" s="12" t="s">
        <v>6</v>
      </c>
      <c r="C5" s="12" t="s">
        <v>33</v>
      </c>
      <c r="D5" s="12"/>
      <c r="E5" s="128" t="s">
        <v>7</v>
      </c>
      <c r="F5" s="129"/>
      <c r="G5" s="129"/>
      <c r="H5" s="129"/>
      <c r="I5" s="130"/>
      <c r="J5" s="13"/>
      <c r="K5" s="44" t="s">
        <v>25</v>
      </c>
      <c r="L5" s="44">
        <v>2024</v>
      </c>
      <c r="M5" s="44"/>
      <c r="N5" s="44"/>
      <c r="O5" s="44"/>
      <c r="P5" s="42"/>
      <c r="Q5" s="42"/>
      <c r="R5" s="42"/>
      <c r="S5" s="13"/>
      <c r="T5" s="52"/>
      <c r="U5" s="13"/>
      <c r="V5" s="13"/>
      <c r="W5" s="13"/>
      <c r="X5" s="53"/>
      <c r="Y5" s="57"/>
      <c r="Z5" s="53"/>
      <c r="AA5" s="13"/>
      <c r="AB5" s="13"/>
      <c r="AC5" s="13"/>
      <c r="AD5" s="13"/>
      <c r="AE5" s="13"/>
      <c r="AF5" s="13"/>
      <c r="AG5" s="13"/>
      <c r="AH5" s="59"/>
      <c r="AI5" s="60"/>
      <c r="AJ5" s="59"/>
    </row>
    <row r="6" spans="1:36" ht="60" customHeight="1" thickBot="1" x14ac:dyDescent="0.35">
      <c r="B6" s="68" t="s">
        <v>33</v>
      </c>
      <c r="C6" s="617" t="s">
        <v>35</v>
      </c>
      <c r="D6" s="18"/>
      <c r="E6" s="19" t="s">
        <v>1</v>
      </c>
      <c r="F6" s="19"/>
      <c r="G6" s="19"/>
      <c r="H6" s="19"/>
      <c r="I6" s="17" t="s">
        <v>8</v>
      </c>
      <c r="J6" s="49" t="s">
        <v>9</v>
      </c>
      <c r="K6" s="104">
        <v>0.02</v>
      </c>
      <c r="L6" s="612"/>
      <c r="M6" s="612"/>
      <c r="N6" s="612"/>
      <c r="O6" s="612"/>
      <c r="P6" s="638" t="s">
        <v>259</v>
      </c>
      <c r="Q6" s="618"/>
      <c r="R6" s="618"/>
      <c r="S6" s="618"/>
      <c r="T6" s="618"/>
      <c r="U6" s="618"/>
      <c r="V6" s="618"/>
      <c r="W6" s="618"/>
      <c r="X6" s="639"/>
      <c r="Y6" s="58"/>
      <c r="Z6" s="55"/>
      <c r="AA6" s="20"/>
      <c r="AB6" s="20"/>
      <c r="AC6" s="20"/>
      <c r="AD6" s="20"/>
      <c r="AE6" s="20"/>
      <c r="AF6" s="20"/>
      <c r="AG6" s="20"/>
      <c r="AH6" s="55"/>
      <c r="AI6" s="58"/>
      <c r="AJ6" s="55"/>
    </row>
    <row r="7" spans="1:36" ht="15" thickBot="1" x14ac:dyDescent="0.35">
      <c r="B7" s="59"/>
      <c r="C7" s="618"/>
      <c r="D7" s="59"/>
      <c r="E7" s="112"/>
      <c r="F7" s="112"/>
      <c r="G7" s="112"/>
      <c r="H7" s="112"/>
      <c r="I7" s="112"/>
      <c r="J7" s="54"/>
      <c r="K7" s="54"/>
      <c r="L7" s="54"/>
      <c r="M7" s="54"/>
      <c r="N7" s="54"/>
      <c r="O7" s="54"/>
      <c r="P7" s="54"/>
      <c r="Q7" s="208"/>
      <c r="R7" s="59"/>
      <c r="S7" s="59"/>
      <c r="T7" s="59"/>
      <c r="U7" s="59"/>
      <c r="V7" s="59"/>
      <c r="W7" s="59"/>
      <c r="X7" s="59"/>
      <c r="Y7" s="209"/>
      <c r="Z7" s="59"/>
      <c r="AA7" s="59"/>
      <c r="AB7" s="59"/>
      <c r="AC7" s="59"/>
      <c r="AD7" s="59"/>
      <c r="AE7" s="59"/>
      <c r="AF7" s="59"/>
      <c r="AG7" s="171"/>
      <c r="AH7" s="59"/>
      <c r="AI7" s="209"/>
      <c r="AJ7" s="59"/>
    </row>
    <row r="8" spans="1:36" ht="14.4" x14ac:dyDescent="0.3">
      <c r="A8" s="110"/>
      <c r="B8" s="113"/>
      <c r="C8" s="114"/>
      <c r="D8" s="115" t="s">
        <v>26</v>
      </c>
      <c r="E8" s="114"/>
      <c r="F8" s="155"/>
      <c r="G8" s="630" t="s">
        <v>10</v>
      </c>
      <c r="H8" s="631"/>
      <c r="I8" s="194" t="s">
        <v>11</v>
      </c>
      <c r="J8" s="599" t="s">
        <v>12</v>
      </c>
      <c r="K8" s="619" t="s">
        <v>42</v>
      </c>
      <c r="L8" s="634" t="s">
        <v>43</v>
      </c>
      <c r="M8" s="632" t="s">
        <v>44</v>
      </c>
      <c r="N8" s="625" t="s">
        <v>338</v>
      </c>
      <c r="O8" s="613"/>
      <c r="P8" s="636">
        <v>1</v>
      </c>
      <c r="Q8" s="210"/>
      <c r="R8" s="211"/>
      <c r="S8" s="211"/>
      <c r="T8" s="218"/>
      <c r="U8" s="211"/>
      <c r="V8" s="211"/>
      <c r="W8" s="211"/>
      <c r="X8" s="212"/>
      <c r="Y8" s="223"/>
      <c r="Z8" s="210"/>
      <c r="AA8" s="211"/>
      <c r="AB8" s="211"/>
      <c r="AC8" s="212"/>
      <c r="AD8" s="223"/>
      <c r="AE8" s="210"/>
      <c r="AF8" s="211"/>
      <c r="AG8" s="211"/>
      <c r="AH8" s="212"/>
      <c r="AI8" s="223"/>
      <c r="AJ8" s="213" t="s">
        <v>13</v>
      </c>
    </row>
    <row r="9" spans="1:36" ht="27.45" customHeight="1" thickBot="1" x14ac:dyDescent="0.35">
      <c r="A9" s="404" t="s">
        <v>261</v>
      </c>
      <c r="B9" s="187" t="s">
        <v>14</v>
      </c>
      <c r="C9" s="188" t="s">
        <v>15</v>
      </c>
      <c r="D9" s="188" t="s">
        <v>26</v>
      </c>
      <c r="E9" s="188" t="s">
        <v>16</v>
      </c>
      <c r="F9" s="189" t="s">
        <v>17</v>
      </c>
      <c r="G9" s="191" t="s">
        <v>18</v>
      </c>
      <c r="H9" s="192" t="s">
        <v>19</v>
      </c>
      <c r="I9" s="195" t="s">
        <v>20</v>
      </c>
      <c r="J9" s="600" t="s">
        <v>21</v>
      </c>
      <c r="K9" s="620"/>
      <c r="L9" s="635"/>
      <c r="M9" s="633"/>
      <c r="N9" s="626"/>
      <c r="O9" s="170"/>
      <c r="P9" s="637"/>
      <c r="Q9" s="214">
        <v>2</v>
      </c>
      <c r="R9" s="215">
        <v>3</v>
      </c>
      <c r="S9" s="215">
        <v>4</v>
      </c>
      <c r="T9" s="219">
        <v>5</v>
      </c>
      <c r="U9" s="215">
        <v>6</v>
      </c>
      <c r="V9" s="215">
        <v>7</v>
      </c>
      <c r="W9" s="215">
        <v>8</v>
      </c>
      <c r="X9" s="216">
        <v>9</v>
      </c>
      <c r="Y9" s="224">
        <v>10</v>
      </c>
      <c r="Z9" s="214">
        <v>11</v>
      </c>
      <c r="AA9" s="215">
        <v>12</v>
      </c>
      <c r="AB9" s="215">
        <v>13</v>
      </c>
      <c r="AC9" s="216">
        <v>14</v>
      </c>
      <c r="AD9" s="224">
        <v>15</v>
      </c>
      <c r="AE9" s="214">
        <v>16</v>
      </c>
      <c r="AF9" s="215">
        <v>17</v>
      </c>
      <c r="AG9" s="215">
        <v>18</v>
      </c>
      <c r="AH9" s="216">
        <v>19</v>
      </c>
      <c r="AI9" s="224">
        <v>20</v>
      </c>
      <c r="AJ9" s="217" t="s">
        <v>22</v>
      </c>
    </row>
    <row r="10" spans="1:36" ht="31.5" customHeight="1" thickBot="1" x14ac:dyDescent="0.3">
      <c r="A10" s="111">
        <v>1</v>
      </c>
      <c r="B10" s="116" t="s">
        <v>23</v>
      </c>
      <c r="C10" s="23" t="s">
        <v>40</v>
      </c>
      <c r="D10" s="23"/>
      <c r="E10" s="73" t="s">
        <v>26</v>
      </c>
      <c r="F10" s="24"/>
      <c r="G10" s="190"/>
      <c r="H10" s="41"/>
      <c r="I10" s="193"/>
      <c r="J10" s="601"/>
      <c r="K10" s="105"/>
      <c r="L10" s="106" t="s">
        <v>45</v>
      </c>
      <c r="M10" s="107"/>
      <c r="N10" s="123"/>
      <c r="O10" s="171"/>
      <c r="P10" s="250"/>
      <c r="Q10" s="251"/>
      <c r="R10" s="251"/>
      <c r="S10" s="251"/>
      <c r="T10" s="416"/>
      <c r="U10" s="251"/>
      <c r="V10" s="251"/>
      <c r="W10" s="251"/>
      <c r="X10" s="251"/>
      <c r="Y10" s="417"/>
      <c r="Z10" s="251"/>
      <c r="AA10" s="251"/>
      <c r="AB10" s="251"/>
      <c r="AC10" s="251"/>
      <c r="AD10" s="417"/>
      <c r="AE10" s="251"/>
      <c r="AF10" s="251"/>
      <c r="AG10" s="251"/>
      <c r="AH10" s="251"/>
      <c r="AI10" s="417"/>
      <c r="AJ10" s="418"/>
    </row>
    <row r="11" spans="1:36" ht="14.4" thickTop="1" x14ac:dyDescent="0.25">
      <c r="A11" s="111">
        <f>A10+1</f>
        <v>2</v>
      </c>
      <c r="B11" s="117" t="s">
        <v>36</v>
      </c>
      <c r="C11" s="32" t="s">
        <v>97</v>
      </c>
      <c r="D11" s="33" t="s">
        <v>92</v>
      </c>
      <c r="E11" s="33">
        <v>50</v>
      </c>
      <c r="F11" s="33">
        <v>15</v>
      </c>
      <c r="G11" s="34"/>
      <c r="H11" s="34"/>
      <c r="I11" s="134">
        <v>5000</v>
      </c>
      <c r="J11" s="45">
        <v>4</v>
      </c>
      <c r="K11" s="70"/>
      <c r="L11" s="98"/>
      <c r="M11" s="93"/>
      <c r="N11" s="124">
        <f>I11*J11</f>
        <v>20000</v>
      </c>
      <c r="O11" s="172"/>
      <c r="P11" s="247">
        <v>0</v>
      </c>
      <c r="Q11" s="36">
        <v>0</v>
      </c>
      <c r="R11" s="36">
        <v>0</v>
      </c>
      <c r="S11" s="36">
        <v>0</v>
      </c>
      <c r="T11" s="220">
        <v>0</v>
      </c>
      <c r="U11" s="36">
        <v>0</v>
      </c>
      <c r="V11" s="36">
        <v>0</v>
      </c>
      <c r="W11" s="36">
        <v>0</v>
      </c>
      <c r="X11" s="56">
        <v>0</v>
      </c>
      <c r="Y11" s="229" t="s">
        <v>260</v>
      </c>
      <c r="Z11" s="36">
        <v>0</v>
      </c>
      <c r="AA11" s="36">
        <v>0</v>
      </c>
      <c r="AB11" s="36">
        <v>0</v>
      </c>
      <c r="AC11" s="56">
        <v>0</v>
      </c>
      <c r="AD11" s="226">
        <f>N11*(1+K6)^AD9</f>
        <v>26917.366766482584</v>
      </c>
      <c r="AE11" s="36">
        <v>0</v>
      </c>
      <c r="AF11" s="36">
        <v>0</v>
      </c>
      <c r="AG11" s="36">
        <v>0</v>
      </c>
      <c r="AH11" s="56">
        <v>0</v>
      </c>
      <c r="AI11" s="225">
        <v>0</v>
      </c>
      <c r="AJ11" s="248">
        <f t="shared" ref="AJ11:AJ37" si="0">SUM(P11:AI11)</f>
        <v>26917.366766482584</v>
      </c>
    </row>
    <row r="12" spans="1:36" ht="31.2" customHeight="1" x14ac:dyDescent="0.25">
      <c r="A12" s="111">
        <f t="shared" ref="A12:A79" si="1">A11+1</f>
        <v>3</v>
      </c>
      <c r="B12" s="117" t="s">
        <v>38</v>
      </c>
      <c r="C12" s="32" t="s">
        <v>98</v>
      </c>
      <c r="D12" s="184"/>
      <c r="E12" s="33">
        <v>50</v>
      </c>
      <c r="F12" s="33">
        <v>15</v>
      </c>
      <c r="G12" s="34">
        <v>30</v>
      </c>
      <c r="H12" s="34">
        <v>40</v>
      </c>
      <c r="I12" s="134">
        <v>35</v>
      </c>
      <c r="J12" s="45">
        <v>2800</v>
      </c>
      <c r="K12" s="70"/>
      <c r="L12" s="99"/>
      <c r="M12" s="94">
        <f>I12*J12</f>
        <v>98000</v>
      </c>
      <c r="N12" s="124"/>
      <c r="O12" s="172"/>
      <c r="P12" s="247"/>
      <c r="Q12" s="36"/>
      <c r="R12" s="36"/>
      <c r="S12" s="36"/>
      <c r="T12" s="220"/>
      <c r="U12" s="36"/>
      <c r="V12" s="36"/>
      <c r="W12" s="36"/>
      <c r="X12" s="56"/>
      <c r="Y12" s="229" t="s">
        <v>26</v>
      </c>
      <c r="Z12" s="36"/>
      <c r="AA12" s="36"/>
      <c r="AB12" s="36"/>
      <c r="AC12" s="56"/>
      <c r="AD12" s="226" t="s">
        <v>26</v>
      </c>
      <c r="AE12" s="36"/>
      <c r="AF12" s="36"/>
      <c r="AG12" s="36"/>
      <c r="AH12" s="56"/>
      <c r="AI12" s="225"/>
      <c r="AJ12" s="248"/>
    </row>
    <row r="13" spans="1:36" ht="13.8" x14ac:dyDescent="0.25">
      <c r="A13" s="111">
        <f t="shared" si="1"/>
        <v>4</v>
      </c>
      <c r="B13" s="117" t="s">
        <v>37</v>
      </c>
      <c r="C13" s="32" t="s">
        <v>47</v>
      </c>
      <c r="D13" s="33" t="s">
        <v>92</v>
      </c>
      <c r="E13" s="33">
        <v>10</v>
      </c>
      <c r="F13" s="33">
        <v>5</v>
      </c>
      <c r="G13" s="34">
        <v>12000</v>
      </c>
      <c r="H13" s="34">
        <v>20000</v>
      </c>
      <c r="I13" s="134">
        <v>15000</v>
      </c>
      <c r="J13" s="45">
        <v>4</v>
      </c>
      <c r="K13" s="71"/>
      <c r="L13" s="99"/>
      <c r="M13" s="94"/>
      <c r="N13" s="124">
        <f>I13*J13</f>
        <v>60000</v>
      </c>
      <c r="O13" s="172"/>
      <c r="P13" s="247">
        <v>0</v>
      </c>
      <c r="Q13" s="36">
        <v>0</v>
      </c>
      <c r="R13" s="36">
        <v>0</v>
      </c>
      <c r="S13" s="36">
        <v>0</v>
      </c>
      <c r="T13" s="227">
        <f>N13*(1+K6)^T9</f>
        <v>66244.848192000005</v>
      </c>
      <c r="U13" s="36">
        <v>0</v>
      </c>
      <c r="V13" s="36">
        <v>0</v>
      </c>
      <c r="W13" s="36">
        <v>0</v>
      </c>
      <c r="X13" s="56">
        <v>0</v>
      </c>
      <c r="Y13" s="229">
        <v>0</v>
      </c>
      <c r="Z13" s="36">
        <v>0</v>
      </c>
      <c r="AA13" s="36">
        <v>0</v>
      </c>
      <c r="AB13" s="36">
        <v>0</v>
      </c>
      <c r="AC13" s="56">
        <v>0</v>
      </c>
      <c r="AD13" s="225">
        <v>0</v>
      </c>
      <c r="AE13" s="36">
        <v>0</v>
      </c>
      <c r="AF13" s="36">
        <v>0</v>
      </c>
      <c r="AG13" s="36">
        <v>0</v>
      </c>
      <c r="AH13" s="56">
        <v>0</v>
      </c>
      <c r="AI13" s="225" t="s">
        <v>26</v>
      </c>
      <c r="AJ13" s="248">
        <f t="shared" si="0"/>
        <v>66244.848192000005</v>
      </c>
    </row>
    <row r="14" spans="1:36" ht="13.8" x14ac:dyDescent="0.25">
      <c r="A14" s="111">
        <f t="shared" si="1"/>
        <v>5</v>
      </c>
      <c r="B14" s="117" t="s">
        <v>39</v>
      </c>
      <c r="C14" s="32" t="s">
        <v>106</v>
      </c>
      <c r="D14" s="33" t="s">
        <v>92</v>
      </c>
      <c r="E14" s="33">
        <v>10</v>
      </c>
      <c r="F14" s="33">
        <v>5</v>
      </c>
      <c r="G14" s="34">
        <v>1000</v>
      </c>
      <c r="H14" s="34">
        <v>1500</v>
      </c>
      <c r="I14" s="134">
        <v>1200</v>
      </c>
      <c r="J14" s="45">
        <v>24</v>
      </c>
      <c r="K14" s="71"/>
      <c r="L14" s="99"/>
      <c r="M14" s="94"/>
      <c r="N14" s="124">
        <f>I14*J14</f>
        <v>28800</v>
      </c>
      <c r="O14" s="172"/>
      <c r="P14" s="247"/>
      <c r="Q14" s="36"/>
      <c r="R14" s="36"/>
      <c r="S14" s="36"/>
      <c r="T14" s="227">
        <f>N14*(1+K6)^T9</f>
        <v>31797.527132160001</v>
      </c>
      <c r="U14" s="36"/>
      <c r="V14" s="36"/>
      <c r="W14" s="36"/>
      <c r="X14" s="56"/>
      <c r="Y14" s="229"/>
      <c r="Z14" s="36"/>
      <c r="AA14" s="36"/>
      <c r="AB14" s="36"/>
      <c r="AC14" s="56"/>
      <c r="AD14" s="225"/>
      <c r="AE14" s="36"/>
      <c r="AF14" s="36"/>
      <c r="AG14" s="36"/>
      <c r="AH14" s="56"/>
      <c r="AI14" s="225"/>
      <c r="AJ14" s="248">
        <f t="shared" si="0"/>
        <v>31797.527132160001</v>
      </c>
    </row>
    <row r="15" spans="1:36" ht="26.4" x14ac:dyDescent="0.25">
      <c r="A15" s="111">
        <f t="shared" si="1"/>
        <v>6</v>
      </c>
      <c r="B15" s="117" t="s">
        <v>174</v>
      </c>
      <c r="C15" s="32" t="s">
        <v>41</v>
      </c>
      <c r="D15" s="33" t="s">
        <v>92</v>
      </c>
      <c r="E15" s="33">
        <v>30</v>
      </c>
      <c r="F15" s="33">
        <v>20</v>
      </c>
      <c r="G15" s="34">
        <v>25000</v>
      </c>
      <c r="H15" s="34">
        <v>30000</v>
      </c>
      <c r="I15" s="134">
        <v>27000</v>
      </c>
      <c r="J15" s="45">
        <v>6</v>
      </c>
      <c r="K15" s="71"/>
      <c r="L15" s="99"/>
      <c r="M15" s="94"/>
      <c r="N15" s="124">
        <f t="shared" ref="N15:N16" si="2">I15*J15</f>
        <v>162000</v>
      </c>
      <c r="O15" s="172"/>
      <c r="P15" s="247"/>
      <c r="Q15" s="36"/>
      <c r="R15" s="36"/>
      <c r="S15" s="36"/>
      <c r="T15" s="227" t="s">
        <v>26</v>
      </c>
      <c r="U15" s="36"/>
      <c r="V15" s="36"/>
      <c r="W15" s="36"/>
      <c r="X15" s="56"/>
      <c r="Y15" s="229" t="s">
        <v>260</v>
      </c>
      <c r="Z15" s="36"/>
      <c r="AA15" s="36"/>
      <c r="AB15" s="36"/>
      <c r="AC15" s="56"/>
      <c r="AD15" s="225"/>
      <c r="AE15" s="36"/>
      <c r="AF15" s="36"/>
      <c r="AG15" s="36"/>
      <c r="AH15" s="56"/>
      <c r="AI15" s="226">
        <f>N15*(1+K6)^AI9</f>
        <v>240723.47814849339</v>
      </c>
      <c r="AJ15" s="248">
        <f t="shared" si="0"/>
        <v>240723.47814849339</v>
      </c>
    </row>
    <row r="16" spans="1:36" ht="13.8" x14ac:dyDescent="0.25">
      <c r="A16" s="111">
        <f t="shared" si="1"/>
        <v>7</v>
      </c>
      <c r="B16" s="118" t="s">
        <v>31</v>
      </c>
      <c r="C16" s="32" t="s">
        <v>105</v>
      </c>
      <c r="D16" s="33" t="s">
        <v>92</v>
      </c>
      <c r="E16" s="33">
        <v>30</v>
      </c>
      <c r="F16" s="33">
        <v>0</v>
      </c>
      <c r="G16" s="34">
        <v>8000</v>
      </c>
      <c r="H16" s="34">
        <v>12000</v>
      </c>
      <c r="I16" s="134">
        <v>10000</v>
      </c>
      <c r="J16" s="45">
        <v>6</v>
      </c>
      <c r="K16" s="71"/>
      <c r="L16" s="99"/>
      <c r="M16" s="94"/>
      <c r="N16" s="124">
        <f t="shared" si="2"/>
        <v>60000</v>
      </c>
      <c r="O16" s="172"/>
      <c r="P16" s="247"/>
      <c r="Q16" s="36"/>
      <c r="R16" s="36"/>
      <c r="S16" s="36"/>
      <c r="T16" s="227">
        <f>N16*(1+K6)^T9</f>
        <v>66244.848192000005</v>
      </c>
      <c r="U16" s="36"/>
      <c r="V16" s="36"/>
      <c r="W16" s="36"/>
      <c r="X16" s="56"/>
      <c r="Y16" s="229"/>
      <c r="Z16" s="36"/>
      <c r="AA16" s="36"/>
      <c r="AB16" s="36"/>
      <c r="AC16" s="56"/>
      <c r="AD16" s="225"/>
      <c r="AE16" s="36"/>
      <c r="AF16" s="36"/>
      <c r="AG16" s="36"/>
      <c r="AH16" s="56"/>
      <c r="AI16" s="226" t="s">
        <v>26</v>
      </c>
      <c r="AJ16" s="248">
        <f t="shared" si="0"/>
        <v>66244.848192000005</v>
      </c>
    </row>
    <row r="17" spans="1:36" ht="25.8" customHeight="1" x14ac:dyDescent="0.25">
      <c r="A17" s="111">
        <f t="shared" si="1"/>
        <v>8</v>
      </c>
      <c r="B17" s="119" t="s">
        <v>77</v>
      </c>
      <c r="C17" s="74" t="s">
        <v>100</v>
      </c>
      <c r="D17" s="185" t="s">
        <v>89</v>
      </c>
      <c r="E17" s="33">
        <v>20</v>
      </c>
      <c r="F17" s="33">
        <v>10</v>
      </c>
      <c r="G17" s="34">
        <v>3</v>
      </c>
      <c r="H17" s="34">
        <v>7</v>
      </c>
      <c r="I17" s="134">
        <v>5</v>
      </c>
      <c r="J17" s="45">
        <v>18900</v>
      </c>
      <c r="K17" s="71"/>
      <c r="L17" s="99"/>
      <c r="M17" s="94" t="s">
        <v>26</v>
      </c>
      <c r="N17" s="124">
        <f>I17*J17</f>
        <v>94500</v>
      </c>
      <c r="O17" s="172"/>
      <c r="P17" s="247">
        <v>0</v>
      </c>
      <c r="Q17" s="36">
        <v>0</v>
      </c>
      <c r="R17" s="36">
        <v>0</v>
      </c>
      <c r="S17" s="36">
        <v>0</v>
      </c>
      <c r="T17" s="220">
        <v>0</v>
      </c>
      <c r="U17" s="36">
        <v>0</v>
      </c>
      <c r="V17" s="36">
        <v>0</v>
      </c>
      <c r="W17" s="36">
        <v>0</v>
      </c>
      <c r="X17" s="56">
        <v>0</v>
      </c>
      <c r="Y17" s="452">
        <f>N17*(1+K6)^Y9</f>
        <v>115194.97268950455</v>
      </c>
      <c r="Z17" s="36">
        <v>0</v>
      </c>
      <c r="AA17" s="36">
        <v>0</v>
      </c>
      <c r="AB17" s="36">
        <v>0</v>
      </c>
      <c r="AC17" s="56">
        <v>0</v>
      </c>
      <c r="AD17" s="225">
        <v>0</v>
      </c>
      <c r="AE17" s="36">
        <v>0</v>
      </c>
      <c r="AF17" s="36">
        <v>0</v>
      </c>
      <c r="AG17" s="36">
        <v>0</v>
      </c>
      <c r="AH17" s="56">
        <v>0</v>
      </c>
      <c r="AI17" s="226" t="s">
        <v>260</v>
      </c>
      <c r="AJ17" s="248">
        <f t="shared" si="0"/>
        <v>115194.97268950455</v>
      </c>
    </row>
    <row r="18" spans="1:36" ht="18.45" customHeight="1" x14ac:dyDescent="0.25">
      <c r="A18" s="111">
        <f t="shared" si="1"/>
        <v>9</v>
      </c>
      <c r="B18" s="120" t="s">
        <v>281</v>
      </c>
      <c r="C18" s="32" t="s">
        <v>99</v>
      </c>
      <c r="D18" s="33" t="s">
        <v>89</v>
      </c>
      <c r="E18" s="33">
        <v>40</v>
      </c>
      <c r="F18" s="33">
        <v>10</v>
      </c>
      <c r="G18" s="34">
        <v>3</v>
      </c>
      <c r="H18" s="34">
        <v>7</v>
      </c>
      <c r="I18" s="134">
        <v>5</v>
      </c>
      <c r="J18" s="45">
        <v>19500</v>
      </c>
      <c r="K18" s="71"/>
      <c r="L18" s="99"/>
      <c r="M18" s="94"/>
      <c r="N18" s="124">
        <f>I18*J18</f>
        <v>97500</v>
      </c>
      <c r="O18" s="172"/>
      <c r="P18" s="247">
        <v>0</v>
      </c>
      <c r="Q18" s="36">
        <v>0</v>
      </c>
      <c r="R18" s="36" t="s">
        <v>26</v>
      </c>
      <c r="S18" s="36">
        <v>0</v>
      </c>
      <c r="T18" s="220">
        <v>0</v>
      </c>
      <c r="U18" s="36">
        <v>0</v>
      </c>
      <c r="V18" s="36">
        <v>0</v>
      </c>
      <c r="W18" s="36">
        <v>0</v>
      </c>
      <c r="X18" s="56">
        <v>0</v>
      </c>
      <c r="Y18" s="452">
        <f>N18*(1+K6)^Y9</f>
        <v>118851.95594948882</v>
      </c>
      <c r="Z18" s="36">
        <v>0</v>
      </c>
      <c r="AA18" s="36">
        <v>0</v>
      </c>
      <c r="AB18" s="36">
        <v>0</v>
      </c>
      <c r="AC18" s="56">
        <v>0</v>
      </c>
      <c r="AD18" s="225"/>
      <c r="AE18" s="36">
        <v>0</v>
      </c>
      <c r="AF18" s="36">
        <v>0</v>
      </c>
      <c r="AG18" s="36" t="s">
        <v>26</v>
      </c>
      <c r="AH18" s="56">
        <v>0</v>
      </c>
      <c r="AI18" s="226" t="s">
        <v>260</v>
      </c>
      <c r="AJ18" s="248">
        <f t="shared" si="0"/>
        <v>118851.95594948882</v>
      </c>
    </row>
    <row r="19" spans="1:36" ht="13.8" x14ac:dyDescent="0.25">
      <c r="A19" s="111">
        <f t="shared" si="1"/>
        <v>10</v>
      </c>
      <c r="B19" s="117" t="s">
        <v>78</v>
      </c>
      <c r="C19" s="66" t="s">
        <v>79</v>
      </c>
      <c r="D19" s="185" t="s">
        <v>151</v>
      </c>
      <c r="E19" s="33">
        <v>40</v>
      </c>
      <c r="F19" s="33">
        <v>0</v>
      </c>
      <c r="G19" s="34">
        <v>30</v>
      </c>
      <c r="H19" s="34">
        <v>40</v>
      </c>
      <c r="I19" s="134">
        <v>35</v>
      </c>
      <c r="J19" s="45">
        <v>1000</v>
      </c>
      <c r="K19" s="71" t="s">
        <v>26</v>
      </c>
      <c r="L19" s="99"/>
      <c r="M19" s="94">
        <f>I19*J19</f>
        <v>35000</v>
      </c>
      <c r="N19" s="124"/>
      <c r="O19" s="172"/>
      <c r="P19" s="247">
        <v>0</v>
      </c>
      <c r="Q19" s="36" t="s">
        <v>26</v>
      </c>
      <c r="R19" s="36">
        <v>0</v>
      </c>
      <c r="S19" s="36">
        <v>0</v>
      </c>
      <c r="T19" s="220">
        <v>0</v>
      </c>
      <c r="U19" s="36">
        <v>0</v>
      </c>
      <c r="V19" s="36">
        <v>0</v>
      </c>
      <c r="W19" s="36">
        <v>0</v>
      </c>
      <c r="X19" s="56">
        <v>0</v>
      </c>
      <c r="Y19" s="229" t="s">
        <v>26</v>
      </c>
      <c r="Z19" s="36">
        <v>0</v>
      </c>
      <c r="AA19" s="36">
        <v>0</v>
      </c>
      <c r="AB19" s="36">
        <v>0</v>
      </c>
      <c r="AC19" s="56">
        <v>0</v>
      </c>
      <c r="AD19" s="225">
        <v>0</v>
      </c>
      <c r="AE19" s="36">
        <v>0</v>
      </c>
      <c r="AF19" s="36">
        <v>0</v>
      </c>
      <c r="AG19" s="36">
        <v>0</v>
      </c>
      <c r="AH19" s="56">
        <v>0</v>
      </c>
      <c r="AI19" s="226" t="s">
        <v>260</v>
      </c>
      <c r="AJ19" s="248">
        <f t="shared" si="0"/>
        <v>0</v>
      </c>
    </row>
    <row r="20" spans="1:36" ht="13.8" x14ac:dyDescent="0.25">
      <c r="A20" s="111">
        <f t="shared" si="1"/>
        <v>11</v>
      </c>
      <c r="B20" s="117" t="s">
        <v>48</v>
      </c>
      <c r="C20" s="32" t="s">
        <v>101</v>
      </c>
      <c r="D20" s="33" t="s">
        <v>92</v>
      </c>
      <c r="E20" s="33" t="s">
        <v>49</v>
      </c>
      <c r="F20" s="33">
        <v>30</v>
      </c>
      <c r="G20" s="34">
        <v>12000</v>
      </c>
      <c r="H20" s="34">
        <v>17000</v>
      </c>
      <c r="I20" s="134">
        <v>15000</v>
      </c>
      <c r="J20" s="45">
        <v>28</v>
      </c>
      <c r="K20" s="71">
        <f>I20*J20</f>
        <v>420000</v>
      </c>
      <c r="L20" s="99"/>
      <c r="M20" s="94"/>
      <c r="N20" s="124"/>
      <c r="O20" s="172"/>
      <c r="P20" s="247">
        <v>0</v>
      </c>
      <c r="Q20" s="36">
        <v>0</v>
      </c>
      <c r="R20" s="36">
        <v>0</v>
      </c>
      <c r="S20" s="36">
        <v>0</v>
      </c>
      <c r="T20" s="220">
        <v>0</v>
      </c>
      <c r="U20" s="36">
        <v>0</v>
      </c>
      <c r="V20" s="36">
        <v>0</v>
      </c>
      <c r="W20" s="36">
        <v>0</v>
      </c>
      <c r="X20" s="56">
        <v>0</v>
      </c>
      <c r="Y20" s="229">
        <f t="shared" ref="Y20:Y24" si="3">M20*1.02*1.02*1.02*1.02*1.02*1.02*1.02*1.02*1.02</f>
        <v>0</v>
      </c>
      <c r="Z20" s="36">
        <v>0</v>
      </c>
      <c r="AA20" s="36">
        <v>0</v>
      </c>
      <c r="AB20" s="36">
        <v>0</v>
      </c>
      <c r="AC20" s="56">
        <v>0</v>
      </c>
      <c r="AD20" s="225">
        <v>0</v>
      </c>
      <c r="AE20" s="36">
        <v>0</v>
      </c>
      <c r="AF20" s="36">
        <v>0</v>
      </c>
      <c r="AG20" s="36">
        <v>0</v>
      </c>
      <c r="AH20" s="56">
        <v>0</v>
      </c>
      <c r="AI20" s="225">
        <v>0</v>
      </c>
      <c r="AJ20" s="248">
        <f t="shared" si="0"/>
        <v>0</v>
      </c>
    </row>
    <row r="21" spans="1:36" ht="67.2" customHeight="1" x14ac:dyDescent="0.25">
      <c r="A21" s="111">
        <f t="shared" si="1"/>
        <v>12</v>
      </c>
      <c r="B21" s="117" t="s">
        <v>107</v>
      </c>
      <c r="C21" s="32" t="s">
        <v>227</v>
      </c>
      <c r="D21" s="33" t="s">
        <v>102</v>
      </c>
      <c r="E21" s="33" t="s">
        <v>49</v>
      </c>
      <c r="F21" s="33">
        <v>30</v>
      </c>
      <c r="G21" s="34">
        <v>250000</v>
      </c>
      <c r="H21" s="34">
        <v>350000</v>
      </c>
      <c r="I21" s="134">
        <v>300000</v>
      </c>
      <c r="J21" s="45">
        <v>60</v>
      </c>
      <c r="K21" s="71">
        <f>I21*J21</f>
        <v>18000000</v>
      </c>
      <c r="L21" s="99"/>
      <c r="M21" s="94"/>
      <c r="N21" s="124"/>
      <c r="O21" s="172"/>
      <c r="P21" s="247">
        <v>0</v>
      </c>
      <c r="Q21" s="36">
        <v>0</v>
      </c>
      <c r="R21" s="36">
        <v>0</v>
      </c>
      <c r="S21" s="36">
        <v>0</v>
      </c>
      <c r="T21" s="220">
        <v>0</v>
      </c>
      <c r="U21" s="36">
        <v>0</v>
      </c>
      <c r="V21" s="36">
        <v>0</v>
      </c>
      <c r="W21" s="36">
        <v>0</v>
      </c>
      <c r="X21" s="56">
        <v>0</v>
      </c>
      <c r="Y21" s="225">
        <f t="shared" si="3"/>
        <v>0</v>
      </c>
      <c r="Z21" s="36">
        <v>0</v>
      </c>
      <c r="AA21" s="36">
        <v>0</v>
      </c>
      <c r="AB21" s="36">
        <v>0</v>
      </c>
      <c r="AC21" s="56">
        <v>0</v>
      </c>
      <c r="AD21" s="225">
        <v>0</v>
      </c>
      <c r="AE21" s="36">
        <v>0</v>
      </c>
      <c r="AF21" s="36">
        <v>0</v>
      </c>
      <c r="AG21" s="36">
        <v>0</v>
      </c>
      <c r="AH21" s="56">
        <v>0</v>
      </c>
      <c r="AI21" s="225">
        <v>0</v>
      </c>
      <c r="AJ21" s="248">
        <f t="shared" si="0"/>
        <v>0</v>
      </c>
    </row>
    <row r="22" spans="1:36" ht="98.4" customHeight="1" x14ac:dyDescent="0.25">
      <c r="A22" s="111">
        <f t="shared" si="1"/>
        <v>13</v>
      </c>
      <c r="B22" s="117" t="s">
        <v>226</v>
      </c>
      <c r="C22" s="32" t="s">
        <v>225</v>
      </c>
      <c r="D22" s="33" t="s">
        <v>92</v>
      </c>
      <c r="E22" s="33" t="s">
        <v>228</v>
      </c>
      <c r="F22" s="33">
        <v>30</v>
      </c>
      <c r="G22" s="34">
        <v>60000</v>
      </c>
      <c r="H22" s="34">
        <v>80000</v>
      </c>
      <c r="I22" s="134">
        <v>70000</v>
      </c>
      <c r="J22" s="45">
        <v>24</v>
      </c>
      <c r="K22" s="71">
        <f>I22*J22</f>
        <v>1680000</v>
      </c>
      <c r="L22" s="99"/>
      <c r="M22" s="94"/>
      <c r="N22" s="124"/>
      <c r="O22" s="172"/>
      <c r="P22" s="247"/>
      <c r="Q22" s="36"/>
      <c r="R22" s="36"/>
      <c r="S22" s="36"/>
      <c r="T22" s="220"/>
      <c r="U22" s="36"/>
      <c r="V22" s="36"/>
      <c r="W22" s="36"/>
      <c r="X22" s="56"/>
      <c r="Y22" s="225"/>
      <c r="Z22" s="36"/>
      <c r="AA22" s="36"/>
      <c r="AB22" s="36"/>
      <c r="AC22" s="56"/>
      <c r="AD22" s="225"/>
      <c r="AE22" s="36"/>
      <c r="AF22" s="36"/>
      <c r="AG22" s="36"/>
      <c r="AH22" s="56"/>
      <c r="AI22" s="225"/>
      <c r="AJ22" s="248"/>
    </row>
    <row r="23" spans="1:36" ht="13.8" x14ac:dyDescent="0.25">
      <c r="A23" s="111">
        <f t="shared" si="1"/>
        <v>14</v>
      </c>
      <c r="B23" s="117" t="s">
        <v>50</v>
      </c>
      <c r="C23" s="32" t="s">
        <v>96</v>
      </c>
      <c r="D23" s="33" t="s">
        <v>92</v>
      </c>
      <c r="E23" s="33" t="s">
        <v>49</v>
      </c>
      <c r="F23" s="33">
        <v>0</v>
      </c>
      <c r="G23" s="34">
        <v>1800</v>
      </c>
      <c r="H23" s="34">
        <v>2500</v>
      </c>
      <c r="I23" s="134">
        <v>2150</v>
      </c>
      <c r="J23" s="45">
        <v>140</v>
      </c>
      <c r="K23" s="71">
        <v>301000</v>
      </c>
      <c r="L23" s="99" t="s">
        <v>26</v>
      </c>
      <c r="M23" s="94"/>
      <c r="N23" s="124"/>
      <c r="O23" s="172"/>
      <c r="P23" s="247"/>
      <c r="Q23" s="36"/>
      <c r="R23" s="36"/>
      <c r="S23" s="36"/>
      <c r="T23" s="220"/>
      <c r="U23" s="36"/>
      <c r="V23" s="36"/>
      <c r="W23" s="36"/>
      <c r="X23" s="56"/>
      <c r="Y23" s="225">
        <f t="shared" si="3"/>
        <v>0</v>
      </c>
      <c r="Z23" s="36"/>
      <c r="AA23" s="36"/>
      <c r="AB23" s="36"/>
      <c r="AC23" s="56"/>
      <c r="AD23" s="225"/>
      <c r="AE23" s="36"/>
      <c r="AF23" s="36"/>
      <c r="AG23" s="36"/>
      <c r="AH23" s="56"/>
      <c r="AI23" s="225"/>
      <c r="AJ23" s="248"/>
    </row>
    <row r="24" spans="1:36" ht="13.8" x14ac:dyDescent="0.25">
      <c r="A24" s="111">
        <f t="shared" si="1"/>
        <v>15</v>
      </c>
      <c r="B24" s="117" t="s">
        <v>51</v>
      </c>
      <c r="C24" s="32" t="s">
        <v>173</v>
      </c>
      <c r="D24" s="33" t="s">
        <v>92</v>
      </c>
      <c r="E24" s="33" t="s">
        <v>49</v>
      </c>
      <c r="F24" s="33">
        <v>0</v>
      </c>
      <c r="G24" s="34">
        <v>45000</v>
      </c>
      <c r="H24" s="34">
        <v>55000</v>
      </c>
      <c r="I24" s="134">
        <v>50000</v>
      </c>
      <c r="J24" s="45">
        <v>6</v>
      </c>
      <c r="K24" s="71">
        <f>I24*J24</f>
        <v>300000</v>
      </c>
      <c r="L24" s="99"/>
      <c r="M24" s="94"/>
      <c r="N24" s="124" t="s">
        <v>26</v>
      </c>
      <c r="O24" s="172"/>
      <c r="P24" s="247"/>
      <c r="Q24" s="36"/>
      <c r="R24" s="36"/>
      <c r="S24" s="36"/>
      <c r="T24" s="220"/>
      <c r="U24" s="36"/>
      <c r="V24" s="36"/>
      <c r="W24" s="36"/>
      <c r="X24" s="56"/>
      <c r="Y24" s="225">
        <f t="shared" si="3"/>
        <v>0</v>
      </c>
      <c r="Z24" s="36"/>
      <c r="AA24" s="36"/>
      <c r="AB24" s="36"/>
      <c r="AC24" s="56"/>
      <c r="AD24" s="225"/>
      <c r="AE24" s="36"/>
      <c r="AF24" s="36"/>
      <c r="AG24" s="36"/>
      <c r="AH24" s="56"/>
      <c r="AI24" s="225"/>
      <c r="AJ24" s="248"/>
    </row>
    <row r="25" spans="1:36" ht="26.4" x14ac:dyDescent="0.25">
      <c r="A25" s="111">
        <f t="shared" si="1"/>
        <v>16</v>
      </c>
      <c r="B25" s="207" t="s">
        <v>175</v>
      </c>
      <c r="C25" s="32" t="s">
        <v>265</v>
      </c>
      <c r="D25" s="33" t="s">
        <v>89</v>
      </c>
      <c r="E25" s="33">
        <v>10</v>
      </c>
      <c r="F25" s="33">
        <v>0</v>
      </c>
      <c r="G25" s="34">
        <v>4</v>
      </c>
      <c r="H25" s="34">
        <v>5</v>
      </c>
      <c r="I25" s="134">
        <v>4.5</v>
      </c>
      <c r="J25" s="45">
        <v>295000</v>
      </c>
      <c r="K25" s="71">
        <f>I25*J25</f>
        <v>1327500</v>
      </c>
      <c r="L25" s="99"/>
      <c r="M25" s="94"/>
      <c r="N25" s="124" t="s">
        <v>26</v>
      </c>
      <c r="O25" s="172"/>
      <c r="P25" s="247">
        <v>0</v>
      </c>
      <c r="Q25" s="36">
        <v>0</v>
      </c>
      <c r="R25" s="36">
        <v>0</v>
      </c>
      <c r="S25" s="36">
        <v>0</v>
      </c>
      <c r="T25" s="220">
        <v>0</v>
      </c>
      <c r="U25" s="36">
        <v>0</v>
      </c>
      <c r="V25" s="36">
        <v>0</v>
      </c>
      <c r="W25" s="36">
        <v>0</v>
      </c>
      <c r="X25" s="56">
        <v>0</v>
      </c>
      <c r="Y25" s="403">
        <f>K25*(1+K6)^Y9</f>
        <v>1618215.0925430402</v>
      </c>
      <c r="Z25" s="36">
        <v>0</v>
      </c>
      <c r="AA25" s="36">
        <v>0</v>
      </c>
      <c r="AB25" s="36">
        <v>0</v>
      </c>
      <c r="AC25" s="56">
        <v>0</v>
      </c>
      <c r="AD25" s="225">
        <v>0</v>
      </c>
      <c r="AE25" s="36">
        <v>0</v>
      </c>
      <c r="AF25" s="36">
        <v>0</v>
      </c>
      <c r="AG25" s="36">
        <v>0</v>
      </c>
      <c r="AH25" s="56">
        <v>0</v>
      </c>
      <c r="AI25" s="226">
        <f>K25*(1+K6)^AI9</f>
        <v>1972595.1681612653</v>
      </c>
      <c r="AJ25" s="248">
        <f t="shared" si="0"/>
        <v>3590810.2607043055</v>
      </c>
    </row>
    <row r="26" spans="1:36" ht="28.8" customHeight="1" x14ac:dyDescent="0.25">
      <c r="A26" s="111">
        <f t="shared" si="1"/>
        <v>17</v>
      </c>
      <c r="B26" s="133" t="s">
        <v>176</v>
      </c>
      <c r="C26" s="32" t="s">
        <v>95</v>
      </c>
      <c r="D26" s="33" t="s">
        <v>89</v>
      </c>
      <c r="E26" s="33">
        <v>10</v>
      </c>
      <c r="F26" s="33">
        <v>0</v>
      </c>
      <c r="G26" s="34">
        <v>4</v>
      </c>
      <c r="H26" s="34">
        <v>5</v>
      </c>
      <c r="I26" s="134">
        <v>4.5</v>
      </c>
      <c r="J26" s="45">
        <v>250000</v>
      </c>
      <c r="K26" s="71">
        <f>5*(I26*J26)</f>
        <v>5625000</v>
      </c>
      <c r="L26" s="99"/>
      <c r="M26" s="94"/>
      <c r="N26" s="124"/>
      <c r="O26" s="172"/>
      <c r="P26" s="458"/>
      <c r="Q26" s="50"/>
      <c r="R26" s="50"/>
      <c r="S26" s="50"/>
      <c r="T26" s="221"/>
      <c r="U26" s="36"/>
      <c r="V26" s="36"/>
      <c r="W26" s="36"/>
      <c r="X26" s="56"/>
      <c r="Y26" s="403">
        <f>K26*(1+K6)^Y9</f>
        <v>6856843.6124705086</v>
      </c>
      <c r="Z26" s="36"/>
      <c r="AA26" s="36"/>
      <c r="AB26" s="36"/>
      <c r="AC26" s="56"/>
      <c r="AD26" s="225"/>
      <c r="AE26" s="36"/>
      <c r="AF26" s="36"/>
      <c r="AG26" s="36"/>
      <c r="AH26" s="56"/>
      <c r="AI26" s="226">
        <f>K26*(1+K6)^AI9</f>
        <v>8358454.1023782426</v>
      </c>
      <c r="AJ26" s="248">
        <f t="shared" si="0"/>
        <v>15215297.714848751</v>
      </c>
    </row>
    <row r="27" spans="1:36" ht="13.8" x14ac:dyDescent="0.25">
      <c r="A27" s="111">
        <f t="shared" si="1"/>
        <v>18</v>
      </c>
      <c r="B27" s="117" t="s">
        <v>90</v>
      </c>
      <c r="C27" s="32" t="s">
        <v>93</v>
      </c>
      <c r="D27" s="33" t="s">
        <v>89</v>
      </c>
      <c r="E27" s="33">
        <v>20</v>
      </c>
      <c r="F27" s="33">
        <v>5</v>
      </c>
      <c r="G27" s="34">
        <v>50</v>
      </c>
      <c r="H27" s="34">
        <v>70</v>
      </c>
      <c r="I27" s="134">
        <v>60</v>
      </c>
      <c r="J27" s="45">
        <v>9600</v>
      </c>
      <c r="K27" s="71">
        <f>J27*I27</f>
        <v>576000</v>
      </c>
      <c r="L27" s="99"/>
      <c r="M27" s="94"/>
      <c r="N27" s="124"/>
      <c r="O27" s="172"/>
      <c r="P27" s="62">
        <v>0</v>
      </c>
      <c r="Q27" s="62">
        <v>0</v>
      </c>
      <c r="R27" s="62">
        <v>0</v>
      </c>
      <c r="S27" s="62">
        <v>0</v>
      </c>
      <c r="T27" s="456">
        <v>0</v>
      </c>
      <c r="U27" s="36">
        <v>0</v>
      </c>
      <c r="V27" s="36">
        <v>0</v>
      </c>
      <c r="W27" s="36">
        <v>0</v>
      </c>
      <c r="X27" s="56">
        <v>0</v>
      </c>
      <c r="Y27" s="463">
        <v>0</v>
      </c>
      <c r="Z27" s="36" t="s">
        <v>26</v>
      </c>
      <c r="AA27" s="36"/>
      <c r="AB27" s="36">
        <v>0</v>
      </c>
      <c r="AC27" s="56">
        <v>0</v>
      </c>
      <c r="AD27" s="225">
        <v>0</v>
      </c>
      <c r="AE27" s="36">
        <v>0</v>
      </c>
      <c r="AF27" s="36">
        <v>0</v>
      </c>
      <c r="AG27" s="36">
        <v>0</v>
      </c>
      <c r="AH27" s="56">
        <v>0</v>
      </c>
      <c r="AI27" s="226">
        <f>K27*(1+K6)^AI9</f>
        <v>855905.70008353202</v>
      </c>
      <c r="AJ27" s="248">
        <f t="shared" si="0"/>
        <v>855905.70008353202</v>
      </c>
    </row>
    <row r="28" spans="1:36" ht="13.8" x14ac:dyDescent="0.25">
      <c r="A28" s="111">
        <f t="shared" si="1"/>
        <v>19</v>
      </c>
      <c r="B28" s="117" t="s">
        <v>91</v>
      </c>
      <c r="C28" s="32" t="s">
        <v>94</v>
      </c>
      <c r="D28" s="33" t="s">
        <v>89</v>
      </c>
      <c r="E28" s="33">
        <v>20</v>
      </c>
      <c r="F28" s="33">
        <v>5</v>
      </c>
      <c r="G28" s="34">
        <v>50</v>
      </c>
      <c r="H28" s="34">
        <v>70</v>
      </c>
      <c r="I28" s="134">
        <v>65</v>
      </c>
      <c r="J28" s="45">
        <v>7200</v>
      </c>
      <c r="K28" s="71">
        <f>5*I28*J28</f>
        <v>2340000</v>
      </c>
      <c r="L28" s="99"/>
      <c r="M28" s="94"/>
      <c r="N28" s="124"/>
      <c r="O28" s="172"/>
      <c r="P28" s="62"/>
      <c r="Q28" s="62"/>
      <c r="R28" s="62"/>
      <c r="S28" s="62"/>
      <c r="T28" s="456"/>
      <c r="U28" s="36"/>
      <c r="V28" s="36"/>
      <c r="W28" s="36"/>
      <c r="X28" s="56"/>
      <c r="Y28" s="463">
        <v>0</v>
      </c>
      <c r="Z28" s="36"/>
      <c r="AA28" s="36"/>
      <c r="AB28" s="36"/>
      <c r="AC28" s="56"/>
      <c r="AD28" s="225"/>
      <c r="AE28" s="36"/>
      <c r="AF28" s="36"/>
      <c r="AG28" s="36"/>
      <c r="AH28" s="56"/>
      <c r="AI28" s="226">
        <f>K28*(1+K6)^AI9</f>
        <v>3477116.9065893488</v>
      </c>
      <c r="AJ28" s="248">
        <f t="shared" si="0"/>
        <v>3477116.9065893488</v>
      </c>
    </row>
    <row r="29" spans="1:36" ht="13.8" x14ac:dyDescent="0.25">
      <c r="A29" s="111">
        <f t="shared" si="1"/>
        <v>20</v>
      </c>
      <c r="B29" s="117" t="s">
        <v>52</v>
      </c>
      <c r="C29" s="32" t="s">
        <v>53</v>
      </c>
      <c r="D29" s="33" t="s">
        <v>92</v>
      </c>
      <c r="E29" s="33">
        <v>20</v>
      </c>
      <c r="F29" s="33">
        <v>0</v>
      </c>
      <c r="G29" s="34">
        <v>8000</v>
      </c>
      <c r="H29" s="34">
        <v>10000</v>
      </c>
      <c r="I29" s="134">
        <v>9000</v>
      </c>
      <c r="J29" s="45">
        <v>104</v>
      </c>
      <c r="K29" s="71">
        <v>936000</v>
      </c>
      <c r="L29" s="99" t="s">
        <v>26</v>
      </c>
      <c r="M29" s="94"/>
      <c r="N29" s="124"/>
      <c r="O29" s="175"/>
      <c r="P29" s="459">
        <v>0</v>
      </c>
      <c r="Q29" s="460">
        <v>0</v>
      </c>
      <c r="R29" s="461">
        <v>0</v>
      </c>
      <c r="S29" s="461">
        <v>0</v>
      </c>
      <c r="T29" s="462">
        <v>0</v>
      </c>
      <c r="U29" s="36">
        <v>0</v>
      </c>
      <c r="V29" s="36">
        <v>0</v>
      </c>
      <c r="W29" s="36">
        <v>0</v>
      </c>
      <c r="X29" s="56">
        <v>0</v>
      </c>
      <c r="Y29" s="403" t="s">
        <v>260</v>
      </c>
      <c r="Z29" s="36">
        <v>0</v>
      </c>
      <c r="AA29" s="36">
        <v>0</v>
      </c>
      <c r="AB29" s="36">
        <v>0</v>
      </c>
      <c r="AC29" s="56">
        <v>0</v>
      </c>
      <c r="AD29" s="225">
        <v>0</v>
      </c>
      <c r="AE29" s="36">
        <v>0</v>
      </c>
      <c r="AF29" s="36">
        <v>0</v>
      </c>
      <c r="AG29" s="36">
        <v>0</v>
      </c>
      <c r="AH29" s="56">
        <v>0</v>
      </c>
      <c r="AI29" s="226">
        <f>K29*(1+K6)^AI9</f>
        <v>1390846.7626357395</v>
      </c>
      <c r="AJ29" s="248">
        <f t="shared" si="0"/>
        <v>1390846.7626357395</v>
      </c>
    </row>
    <row r="30" spans="1:36" ht="13.8" x14ac:dyDescent="0.25">
      <c r="A30" s="111">
        <f t="shared" si="1"/>
        <v>21</v>
      </c>
      <c r="B30" s="117" t="s">
        <v>85</v>
      </c>
      <c r="C30" s="32" t="s">
        <v>86</v>
      </c>
      <c r="D30" s="33" t="s">
        <v>92</v>
      </c>
      <c r="E30" s="33">
        <v>15</v>
      </c>
      <c r="F30" s="33">
        <v>5</v>
      </c>
      <c r="G30" s="34"/>
      <c r="H30" s="34"/>
      <c r="I30" s="134">
        <v>20000</v>
      </c>
      <c r="J30" s="45">
        <v>4</v>
      </c>
      <c r="K30" s="71" t="s">
        <v>26</v>
      </c>
      <c r="L30" s="99"/>
      <c r="M30" s="94"/>
      <c r="N30" s="124">
        <f>I30*J30</f>
        <v>80000</v>
      </c>
      <c r="O30" s="172"/>
      <c r="P30" s="247">
        <v>0</v>
      </c>
      <c r="Q30" s="405">
        <v>0</v>
      </c>
      <c r="R30" s="405">
        <v>0</v>
      </c>
      <c r="S30" s="405">
        <v>0</v>
      </c>
      <c r="T30" s="227">
        <f>N30*(1+K6)^T9</f>
        <v>88326.464256000007</v>
      </c>
      <c r="U30" s="36">
        <v>0</v>
      </c>
      <c r="V30" s="36">
        <v>0</v>
      </c>
      <c r="W30" s="36">
        <v>0</v>
      </c>
      <c r="X30" s="56">
        <v>0</v>
      </c>
      <c r="Y30" s="403" t="s">
        <v>260</v>
      </c>
      <c r="Z30" s="36">
        <v>0</v>
      </c>
      <c r="AA30" s="36">
        <v>0</v>
      </c>
      <c r="AB30" s="36">
        <v>0</v>
      </c>
      <c r="AC30" s="56">
        <v>0</v>
      </c>
      <c r="AD30" s="225">
        <v>0</v>
      </c>
      <c r="AE30" s="36">
        <v>0</v>
      </c>
      <c r="AF30" s="36">
        <v>0</v>
      </c>
      <c r="AG30" s="36">
        <v>0</v>
      </c>
      <c r="AH30" s="56">
        <v>0</v>
      </c>
      <c r="AI30" s="406">
        <f>N30*(1+K6)^AI9</f>
        <v>118875.79167826835</v>
      </c>
      <c r="AJ30" s="248">
        <f>SUM(P30:AI30)</f>
        <v>207202.25593426835</v>
      </c>
    </row>
    <row r="31" spans="1:36" ht="13.8" x14ac:dyDescent="0.25">
      <c r="A31" s="111">
        <f t="shared" si="1"/>
        <v>22</v>
      </c>
      <c r="B31" s="121" t="s">
        <v>83</v>
      </c>
      <c r="C31" s="32" t="s">
        <v>104</v>
      </c>
      <c r="D31" s="33" t="s">
        <v>92</v>
      </c>
      <c r="E31" s="33">
        <v>15</v>
      </c>
      <c r="F31" s="33">
        <v>0</v>
      </c>
      <c r="G31" s="34"/>
      <c r="H31" s="34"/>
      <c r="I31" s="135">
        <v>2500</v>
      </c>
      <c r="J31" s="45">
        <v>140</v>
      </c>
      <c r="K31" s="609" t="s">
        <v>26</v>
      </c>
      <c r="L31" s="72"/>
      <c r="M31" s="610">
        <f>I31*J31</f>
        <v>350000</v>
      </c>
      <c r="N31" s="124"/>
      <c r="O31" s="172"/>
      <c r="P31" s="247">
        <v>0</v>
      </c>
      <c r="Q31" s="36">
        <v>0</v>
      </c>
      <c r="R31" s="36">
        <v>0</v>
      </c>
      <c r="S31" s="36">
        <v>0</v>
      </c>
      <c r="T31" s="227">
        <f t="shared" ref="T31" si="4">N31*(1+K7)^T10</f>
        <v>0</v>
      </c>
      <c r="U31" s="36">
        <v>0</v>
      </c>
      <c r="V31" s="36">
        <v>0</v>
      </c>
      <c r="W31" s="36">
        <v>0</v>
      </c>
      <c r="X31" s="61">
        <v>0</v>
      </c>
      <c r="Y31" s="457" t="s">
        <v>260</v>
      </c>
      <c r="Z31" s="50">
        <v>0</v>
      </c>
      <c r="AA31" s="36">
        <v>0</v>
      </c>
      <c r="AB31" s="36">
        <v>0</v>
      </c>
      <c r="AC31" s="61">
        <v>0</v>
      </c>
      <c r="AD31" s="236">
        <f>M31*(1+K6)^AD9</f>
        <v>471053.91841344524</v>
      </c>
      <c r="AE31" s="50">
        <v>0</v>
      </c>
      <c r="AF31" s="50">
        <v>0</v>
      </c>
      <c r="AG31" s="50">
        <v>0</v>
      </c>
      <c r="AH31" s="61">
        <v>0</v>
      </c>
      <c r="AI31" s="236" t="s">
        <v>260</v>
      </c>
      <c r="AJ31" s="256">
        <f t="shared" si="0"/>
        <v>471053.91841344524</v>
      </c>
    </row>
    <row r="32" spans="1:36" ht="26.4" x14ac:dyDescent="0.25">
      <c r="A32" s="111">
        <f t="shared" si="1"/>
        <v>23</v>
      </c>
      <c r="B32" s="117" t="s">
        <v>110</v>
      </c>
      <c r="C32" s="32" t="s">
        <v>111</v>
      </c>
      <c r="D32" s="33" t="s">
        <v>92</v>
      </c>
      <c r="E32" s="33">
        <v>30</v>
      </c>
      <c r="F32" s="33">
        <v>0</v>
      </c>
      <c r="G32" s="34"/>
      <c r="H32" s="34"/>
      <c r="I32" s="135">
        <v>4000</v>
      </c>
      <c r="J32" s="45">
        <v>2</v>
      </c>
      <c r="K32" s="609"/>
      <c r="L32" s="72"/>
      <c r="M32" s="610">
        <f>I32*J32</f>
        <v>8000</v>
      </c>
      <c r="N32" s="124"/>
      <c r="O32" s="172"/>
      <c r="P32" s="247"/>
      <c r="Q32" s="36"/>
      <c r="R32" s="36"/>
      <c r="S32" s="50"/>
      <c r="T32" s="227" t="s">
        <v>26</v>
      </c>
      <c r="U32" s="50"/>
      <c r="V32" s="50"/>
      <c r="W32" s="61"/>
      <c r="X32" s="476"/>
      <c r="Y32" s="238"/>
      <c r="Z32" s="67"/>
      <c r="AA32" s="50"/>
      <c r="AB32" s="56"/>
      <c r="AC32" s="476"/>
      <c r="AD32" s="238"/>
      <c r="AE32" s="67"/>
      <c r="AF32" s="62"/>
      <c r="AG32" s="62"/>
      <c r="AH32" s="476"/>
      <c r="AI32" s="238"/>
      <c r="AJ32" s="256">
        <f t="shared" si="0"/>
        <v>0</v>
      </c>
    </row>
    <row r="33" spans="1:37" ht="8.4" customHeight="1" x14ac:dyDescent="0.25">
      <c r="A33" s="111">
        <f t="shared" si="1"/>
        <v>24</v>
      </c>
      <c r="B33" s="117"/>
      <c r="C33" s="32"/>
      <c r="D33" s="33"/>
      <c r="E33" s="33"/>
      <c r="F33" s="33"/>
      <c r="G33" s="34"/>
      <c r="H33" s="34"/>
      <c r="I33" s="135"/>
      <c r="J33" s="45"/>
      <c r="K33" s="609"/>
      <c r="L33" s="72"/>
      <c r="M33" s="610"/>
      <c r="N33" s="124"/>
      <c r="O33" s="172"/>
      <c r="P33" s="247"/>
      <c r="Q33" s="36"/>
      <c r="R33" s="56"/>
      <c r="S33" s="62"/>
      <c r="T33" s="227" t="s">
        <v>26</v>
      </c>
      <c r="U33" s="62"/>
      <c r="V33" s="62"/>
      <c r="W33" s="62"/>
      <c r="X33" s="476"/>
      <c r="Y33" s="238"/>
      <c r="Z33" s="67"/>
      <c r="AA33" s="62"/>
      <c r="AB33" s="56"/>
      <c r="AC33" s="476"/>
      <c r="AD33" s="238"/>
      <c r="AE33" s="67"/>
      <c r="AF33" s="62"/>
      <c r="AG33" s="62"/>
      <c r="AH33" s="476"/>
      <c r="AI33" s="238"/>
      <c r="AJ33" s="256">
        <f t="shared" si="0"/>
        <v>0</v>
      </c>
    </row>
    <row r="34" spans="1:37" ht="13.8" x14ac:dyDescent="0.25">
      <c r="A34" s="111">
        <f t="shared" si="1"/>
        <v>25</v>
      </c>
      <c r="B34" s="117" t="s">
        <v>282</v>
      </c>
      <c r="C34" s="32" t="s">
        <v>284</v>
      </c>
      <c r="D34" s="33" t="s">
        <v>151</v>
      </c>
      <c r="E34" s="33">
        <v>20</v>
      </c>
      <c r="F34" s="33">
        <v>0</v>
      </c>
      <c r="G34" s="34">
        <v>100</v>
      </c>
      <c r="H34" s="34">
        <v>120</v>
      </c>
      <c r="I34" s="135">
        <v>115</v>
      </c>
      <c r="J34" s="45">
        <v>80</v>
      </c>
      <c r="K34" s="609"/>
      <c r="L34" s="72"/>
      <c r="M34" s="610"/>
      <c r="N34" s="124">
        <f>I34*J34</f>
        <v>9200</v>
      </c>
      <c r="O34" s="172"/>
      <c r="P34" s="247"/>
      <c r="Q34" s="36"/>
      <c r="R34" s="56"/>
      <c r="S34" s="62"/>
      <c r="T34" s="227">
        <f>N34*(1+K6)^T9</f>
        <v>10157.543389439999</v>
      </c>
      <c r="U34" s="62"/>
      <c r="V34" s="62"/>
      <c r="W34" s="62"/>
      <c r="X34" s="476"/>
      <c r="Y34" s="238"/>
      <c r="Z34" s="67"/>
      <c r="AA34" s="62"/>
      <c r="AB34" s="56"/>
      <c r="AC34" s="476"/>
      <c r="AD34" s="238"/>
      <c r="AE34" s="67"/>
      <c r="AF34" s="62"/>
      <c r="AG34" s="62"/>
      <c r="AH34" s="476"/>
      <c r="AI34" s="238"/>
      <c r="AJ34" s="256">
        <f t="shared" si="0"/>
        <v>10157.543389439999</v>
      </c>
    </row>
    <row r="35" spans="1:37" ht="26.4" x14ac:dyDescent="0.25">
      <c r="A35" s="111">
        <f t="shared" si="1"/>
        <v>26</v>
      </c>
      <c r="B35" s="117" t="s">
        <v>283</v>
      </c>
      <c r="C35" s="32" t="s">
        <v>285</v>
      </c>
      <c r="D35" s="33" t="s">
        <v>92</v>
      </c>
      <c r="E35" s="33">
        <v>20</v>
      </c>
      <c r="F35" s="33">
        <v>5</v>
      </c>
      <c r="G35" s="34">
        <v>200</v>
      </c>
      <c r="H35" s="34">
        <v>300</v>
      </c>
      <c r="I35" s="135">
        <v>250</v>
      </c>
      <c r="J35" s="45">
        <v>140</v>
      </c>
      <c r="K35" s="609"/>
      <c r="L35" s="72"/>
      <c r="M35" s="610"/>
      <c r="N35" s="124">
        <f>I35*J35</f>
        <v>35000</v>
      </c>
      <c r="O35" s="172"/>
      <c r="P35" s="247"/>
      <c r="Q35" s="36"/>
      <c r="R35" s="56"/>
      <c r="S35" s="62"/>
      <c r="T35" s="227">
        <f>N35*(1+K6)^T9</f>
        <v>38642.828112000003</v>
      </c>
      <c r="U35" s="62"/>
      <c r="V35" s="62"/>
      <c r="W35" s="62"/>
      <c r="X35" s="476"/>
      <c r="Y35" s="238"/>
      <c r="Z35" s="67"/>
      <c r="AA35" s="62"/>
      <c r="AB35" s="56"/>
      <c r="AC35" s="476"/>
      <c r="AD35" s="238"/>
      <c r="AE35" s="67"/>
      <c r="AF35" s="62"/>
      <c r="AG35" s="62"/>
      <c r="AH35" s="476"/>
      <c r="AI35" s="238"/>
      <c r="AJ35" s="256">
        <f t="shared" si="0"/>
        <v>38642.828112000003</v>
      </c>
    </row>
    <row r="36" spans="1:37" ht="23.4" customHeight="1" x14ac:dyDescent="0.25">
      <c r="A36" s="111">
        <f t="shared" si="1"/>
        <v>27</v>
      </c>
      <c r="B36" s="117"/>
      <c r="C36" s="32"/>
      <c r="D36" s="33"/>
      <c r="E36" s="33"/>
      <c r="F36" s="33"/>
      <c r="G36" s="34"/>
      <c r="H36" s="34"/>
      <c r="I36" s="135"/>
      <c r="J36" s="45"/>
      <c r="K36" s="609"/>
      <c r="L36" s="72"/>
      <c r="M36" s="610"/>
      <c r="N36" s="124"/>
      <c r="O36" s="172"/>
      <c r="P36" s="247"/>
      <c r="Q36" s="36"/>
      <c r="R36" s="56"/>
      <c r="S36" s="62"/>
      <c r="T36" s="227" t="s">
        <v>26</v>
      </c>
      <c r="U36" s="62"/>
      <c r="V36" s="62"/>
      <c r="W36" s="62"/>
      <c r="X36" s="476"/>
      <c r="Y36" s="238"/>
      <c r="Z36" s="67"/>
      <c r="AA36" s="62"/>
      <c r="AB36" s="56"/>
      <c r="AC36" s="476"/>
      <c r="AD36" s="238"/>
      <c r="AE36" s="67"/>
      <c r="AF36" s="62"/>
      <c r="AG36" s="62"/>
      <c r="AH36" s="476"/>
      <c r="AI36" s="238"/>
      <c r="AJ36" s="478" t="s">
        <v>26</v>
      </c>
    </row>
    <row r="37" spans="1:37" ht="31.2" customHeight="1" thickBot="1" x14ac:dyDescent="0.35">
      <c r="A37" s="111">
        <f t="shared" si="1"/>
        <v>28</v>
      </c>
      <c r="B37" s="117"/>
      <c r="C37" s="63" t="s">
        <v>287</v>
      </c>
      <c r="D37" s="33"/>
      <c r="E37" s="33"/>
      <c r="F37" s="33"/>
      <c r="G37" s="34"/>
      <c r="H37" s="34"/>
      <c r="I37" s="134"/>
      <c r="J37" s="45"/>
      <c r="K37" s="230">
        <f>SUM(K11:K36)</f>
        <v>31505500</v>
      </c>
      <c r="L37" s="230">
        <f>SUM(L11:L36)</f>
        <v>0</v>
      </c>
      <c r="M37" s="611">
        <f>SUM(M11:M36)</f>
        <v>491000</v>
      </c>
      <c r="N37" s="608">
        <f>SUM(N11:N36)</f>
        <v>647000</v>
      </c>
      <c r="O37" s="172"/>
      <c r="P37" s="643" t="s">
        <v>290</v>
      </c>
      <c r="Q37" s="644"/>
      <c r="R37" s="644"/>
      <c r="S37" s="646"/>
      <c r="T37" s="453">
        <f>SUM(T11:T36)</f>
        <v>301414.05927360005</v>
      </c>
      <c r="U37" s="454">
        <f t="shared" ref="U37:AH37" si="5">SUM(U11:U31)</f>
        <v>0</v>
      </c>
      <c r="V37" s="454">
        <f t="shared" si="5"/>
        <v>0</v>
      </c>
      <c r="W37" s="454">
        <f t="shared" si="5"/>
        <v>0</v>
      </c>
      <c r="X37" s="455">
        <f t="shared" si="5"/>
        <v>0</v>
      </c>
      <c r="Y37" s="453">
        <f t="shared" si="5"/>
        <v>8709105.6336525418</v>
      </c>
      <c r="Z37" s="454">
        <f t="shared" si="5"/>
        <v>0</v>
      </c>
      <c r="AA37" s="454">
        <f t="shared" si="5"/>
        <v>0</v>
      </c>
      <c r="AB37" s="266">
        <f t="shared" si="5"/>
        <v>0</v>
      </c>
      <c r="AC37" s="455">
        <f t="shared" si="5"/>
        <v>0</v>
      </c>
      <c r="AD37" s="453">
        <f>SUM(AD11:AD35)</f>
        <v>497971.28517992783</v>
      </c>
      <c r="AE37" s="454">
        <f t="shared" si="5"/>
        <v>0</v>
      </c>
      <c r="AF37" s="454">
        <f t="shared" si="5"/>
        <v>0</v>
      </c>
      <c r="AG37" s="455">
        <f t="shared" si="5"/>
        <v>0</v>
      </c>
      <c r="AH37" s="477">
        <f t="shared" si="5"/>
        <v>0</v>
      </c>
      <c r="AI37" s="453">
        <f>SUM(AI11:AI35)</f>
        <v>16414517.909674888</v>
      </c>
      <c r="AJ37" s="475">
        <f t="shared" si="0"/>
        <v>25923008.887780957</v>
      </c>
      <c r="AK37" s="541" t="s">
        <v>26</v>
      </c>
    </row>
    <row r="38" spans="1:37" ht="15" thickTop="1" thickBot="1" x14ac:dyDescent="0.3">
      <c r="A38" s="111">
        <f t="shared" si="1"/>
        <v>29</v>
      </c>
      <c r="B38" s="122"/>
      <c r="C38" s="37"/>
      <c r="D38" s="37"/>
      <c r="E38" s="38"/>
      <c r="F38" s="38"/>
      <c r="G38" s="39"/>
      <c r="H38" s="39"/>
      <c r="I38" s="40"/>
      <c r="J38" s="602"/>
      <c r="K38" s="136"/>
      <c r="L38" s="100"/>
      <c r="M38" s="102"/>
      <c r="N38" s="95"/>
      <c r="O38" s="172"/>
      <c r="P38" s="249"/>
      <c r="Q38" s="132"/>
      <c r="R38" s="132"/>
      <c r="S38" s="132"/>
      <c r="T38" s="234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415"/>
      <c r="AK38" s="414"/>
    </row>
    <row r="39" spans="1:37" ht="41.55" customHeight="1" thickBot="1" x14ac:dyDescent="0.35">
      <c r="A39" s="111">
        <f t="shared" si="1"/>
        <v>30</v>
      </c>
      <c r="B39" s="144" t="s">
        <v>108</v>
      </c>
      <c r="C39" s="75" t="s">
        <v>40</v>
      </c>
      <c r="D39" s="41"/>
      <c r="E39" s="21" t="s">
        <v>16</v>
      </c>
      <c r="F39" s="21" t="s">
        <v>17</v>
      </c>
      <c r="G39" s="21" t="s">
        <v>18</v>
      </c>
      <c r="H39" s="21" t="s">
        <v>19</v>
      </c>
      <c r="I39" s="22" t="s">
        <v>20</v>
      </c>
      <c r="J39" s="603" t="s">
        <v>21</v>
      </c>
      <c r="K39" s="140" t="s">
        <v>42</v>
      </c>
      <c r="L39" s="141" t="s">
        <v>43</v>
      </c>
      <c r="M39" s="142" t="s">
        <v>44</v>
      </c>
      <c r="N39" s="143" t="s">
        <v>80</v>
      </c>
      <c r="O39" s="173"/>
      <c r="P39" s="250"/>
      <c r="Q39" s="251"/>
      <c r="R39" s="251"/>
      <c r="S39" s="251"/>
      <c r="T39" s="251"/>
      <c r="U39" s="251"/>
      <c r="V39" s="252"/>
      <c r="W39" s="252"/>
      <c r="X39" s="252"/>
      <c r="Y39" s="253"/>
      <c r="Z39" s="252"/>
      <c r="AA39" s="252"/>
      <c r="AB39" s="252"/>
      <c r="AC39" s="252"/>
      <c r="AD39" s="253"/>
      <c r="AE39" s="252"/>
      <c r="AF39" s="252"/>
      <c r="AG39" s="252"/>
      <c r="AH39" s="252"/>
      <c r="AI39" s="253"/>
      <c r="AJ39" s="254"/>
      <c r="AK39" s="414"/>
    </row>
    <row r="40" spans="1:37" ht="13.8" x14ac:dyDescent="0.25">
      <c r="A40" s="111">
        <f t="shared" si="1"/>
        <v>31</v>
      </c>
      <c r="B40" s="121" t="s">
        <v>54</v>
      </c>
      <c r="C40" s="32" t="s">
        <v>55</v>
      </c>
      <c r="D40" s="33" t="s">
        <v>92</v>
      </c>
      <c r="E40" s="33">
        <v>25</v>
      </c>
      <c r="F40" s="33">
        <v>5</v>
      </c>
      <c r="G40" s="34">
        <v>1000</v>
      </c>
      <c r="H40" s="34">
        <v>1400</v>
      </c>
      <c r="I40" s="35">
        <v>1200</v>
      </c>
      <c r="J40" s="45">
        <v>80</v>
      </c>
      <c r="K40" s="71"/>
      <c r="L40" s="99">
        <f>I40*J40</f>
        <v>96000</v>
      </c>
      <c r="M40" s="94"/>
      <c r="N40" s="124"/>
      <c r="O40" s="172"/>
      <c r="P40" s="247">
        <v>0</v>
      </c>
      <c r="Q40" s="36">
        <v>0</v>
      </c>
      <c r="R40" s="36">
        <v>0</v>
      </c>
      <c r="S40" s="36">
        <v>0</v>
      </c>
      <c r="T40" s="227" t="s">
        <v>260</v>
      </c>
      <c r="U40" s="36">
        <v>0</v>
      </c>
      <c r="V40" s="36">
        <v>0</v>
      </c>
      <c r="W40" s="36">
        <v>0</v>
      </c>
      <c r="X40" s="56">
        <v>0</v>
      </c>
      <c r="Y40" s="225">
        <v>0</v>
      </c>
      <c r="Z40" s="36">
        <v>0</v>
      </c>
      <c r="AA40" s="36">
        <v>0</v>
      </c>
      <c r="AB40" s="36">
        <v>0</v>
      </c>
      <c r="AC40" s="56">
        <v>0</v>
      </c>
      <c r="AD40" s="225">
        <v>0</v>
      </c>
      <c r="AE40" s="36">
        <v>0</v>
      </c>
      <c r="AF40" s="36">
        <v>0</v>
      </c>
      <c r="AG40" s="36">
        <v>0</v>
      </c>
      <c r="AH40" s="56">
        <v>0</v>
      </c>
      <c r="AI40" s="225">
        <v>0</v>
      </c>
      <c r="AJ40" s="248">
        <f>SUM(P40:AI40)</f>
        <v>0</v>
      </c>
    </row>
    <row r="41" spans="1:37" ht="13.8" x14ac:dyDescent="0.25">
      <c r="A41" s="111">
        <f t="shared" si="1"/>
        <v>32</v>
      </c>
      <c r="B41" s="121" t="s">
        <v>56</v>
      </c>
      <c r="C41" s="32" t="s">
        <v>109</v>
      </c>
      <c r="D41" s="33" t="s">
        <v>92</v>
      </c>
      <c r="E41" s="33">
        <v>25</v>
      </c>
      <c r="F41" s="33">
        <v>0</v>
      </c>
      <c r="G41" s="34">
        <v>3500</v>
      </c>
      <c r="H41" s="34">
        <v>4100</v>
      </c>
      <c r="I41" s="35">
        <v>3800</v>
      </c>
      <c r="J41" s="45">
        <v>80</v>
      </c>
      <c r="K41" s="71"/>
      <c r="L41" s="99">
        <f>I41*J41</f>
        <v>304000</v>
      </c>
      <c r="M41" s="94"/>
      <c r="N41" s="124"/>
      <c r="O41" s="172"/>
      <c r="P41" s="247"/>
      <c r="Q41" s="36"/>
      <c r="R41" s="36"/>
      <c r="S41" s="36"/>
      <c r="T41" s="220"/>
      <c r="U41" s="36"/>
      <c r="V41" s="36"/>
      <c r="W41" s="36"/>
      <c r="X41" s="56"/>
      <c r="Y41" s="225"/>
      <c r="Z41" s="36"/>
      <c r="AA41" s="36"/>
      <c r="AB41" s="36"/>
      <c r="AC41" s="56"/>
      <c r="AD41" s="225"/>
      <c r="AE41" s="36"/>
      <c r="AF41" s="36"/>
      <c r="AG41" s="36"/>
      <c r="AH41" s="56"/>
      <c r="AI41" s="225"/>
      <c r="AJ41" s="248"/>
      <c r="AK41" s="413" t="s">
        <v>26</v>
      </c>
    </row>
    <row r="42" spans="1:37" ht="13.8" x14ac:dyDescent="0.25">
      <c r="A42" s="111">
        <f t="shared" si="1"/>
        <v>33</v>
      </c>
      <c r="B42" s="121" t="s">
        <v>57</v>
      </c>
      <c r="C42" s="32" t="s">
        <v>112</v>
      </c>
      <c r="D42" s="33" t="s">
        <v>92</v>
      </c>
      <c r="E42" s="33">
        <v>30</v>
      </c>
      <c r="F42" s="33">
        <v>0</v>
      </c>
      <c r="G42" s="34">
        <v>1500</v>
      </c>
      <c r="H42" s="34">
        <v>2500</v>
      </c>
      <c r="I42" s="35">
        <v>2000</v>
      </c>
      <c r="J42" s="45">
        <v>320</v>
      </c>
      <c r="K42" s="71"/>
      <c r="L42" s="99">
        <f>I42*J42</f>
        <v>640000</v>
      </c>
      <c r="M42" s="94"/>
      <c r="N42" s="124"/>
      <c r="O42" s="172"/>
      <c r="P42" s="247"/>
      <c r="Q42" s="36"/>
      <c r="R42" s="36"/>
      <c r="S42" s="36"/>
      <c r="T42" s="220"/>
      <c r="U42" s="36"/>
      <c r="V42" s="36"/>
      <c r="W42" s="36"/>
      <c r="X42" s="56"/>
      <c r="Y42" s="225"/>
      <c r="Z42" s="36"/>
      <c r="AA42" s="36"/>
      <c r="AB42" s="36"/>
      <c r="AC42" s="56"/>
      <c r="AD42" s="225"/>
      <c r="AE42" s="36"/>
      <c r="AF42" s="36"/>
      <c r="AG42" s="36"/>
      <c r="AH42" s="56"/>
      <c r="AI42" s="225"/>
      <c r="AJ42" s="248"/>
    </row>
    <row r="43" spans="1:37" ht="13.8" x14ac:dyDescent="0.25">
      <c r="A43" s="111">
        <f t="shared" si="1"/>
        <v>34</v>
      </c>
      <c r="B43" s="121"/>
      <c r="C43" s="43"/>
      <c r="D43" s="33"/>
      <c r="E43" s="33"/>
      <c r="F43" s="33"/>
      <c r="G43" s="34"/>
      <c r="H43" s="34"/>
      <c r="I43" s="35"/>
      <c r="J43" s="45"/>
      <c r="K43" s="71"/>
      <c r="L43" s="99"/>
      <c r="M43" s="94"/>
      <c r="N43" s="124"/>
      <c r="O43" s="172"/>
      <c r="P43" s="247"/>
      <c r="Q43" s="36"/>
      <c r="R43" s="36"/>
      <c r="S43" s="36"/>
      <c r="T43" s="220"/>
      <c r="U43" s="36"/>
      <c r="V43" s="36"/>
      <c r="W43" s="36"/>
      <c r="X43" s="56"/>
      <c r="Y43" s="225"/>
      <c r="Z43" s="36"/>
      <c r="AA43" s="36"/>
      <c r="AB43" s="36"/>
      <c r="AC43" s="56"/>
      <c r="AD43" s="225"/>
      <c r="AE43" s="36"/>
      <c r="AF43" s="36"/>
      <c r="AG43" s="36"/>
      <c r="AH43" s="56"/>
      <c r="AI43" s="225"/>
      <c r="AJ43" s="248"/>
    </row>
    <row r="44" spans="1:37" ht="13.8" x14ac:dyDescent="0.25">
      <c r="A44" s="111">
        <f>A43+1</f>
        <v>35</v>
      </c>
      <c r="B44" s="121" t="s">
        <v>58</v>
      </c>
      <c r="C44" s="43"/>
      <c r="D44" s="33"/>
      <c r="E44" s="33"/>
      <c r="F44" s="33"/>
      <c r="G44" s="34"/>
      <c r="H44" s="34"/>
      <c r="I44" s="35"/>
      <c r="J44" s="45"/>
      <c r="K44" s="71"/>
      <c r="L44" s="99"/>
      <c r="M44" s="94"/>
      <c r="N44" s="124"/>
      <c r="O44" s="172"/>
      <c r="P44" s="247"/>
      <c r="Q44" s="36"/>
      <c r="R44" s="36"/>
      <c r="S44" s="36"/>
      <c r="T44" s="220"/>
      <c r="U44" s="36"/>
      <c r="V44" s="36"/>
      <c r="W44" s="36"/>
      <c r="X44" s="56"/>
      <c r="Y44" s="225"/>
      <c r="Z44" s="36"/>
      <c r="AA44" s="36"/>
      <c r="AB44" s="36"/>
      <c r="AC44" s="56"/>
      <c r="AD44" s="225"/>
      <c r="AE44" s="36"/>
      <c r="AF44" s="36"/>
      <c r="AG44" s="36"/>
      <c r="AH44" s="56"/>
      <c r="AI44" s="225"/>
      <c r="AJ44" s="248"/>
    </row>
    <row r="45" spans="1:37" ht="13.8" x14ac:dyDescent="0.25">
      <c r="A45" s="111">
        <f t="shared" si="1"/>
        <v>36</v>
      </c>
      <c r="B45" s="117" t="s">
        <v>136</v>
      </c>
      <c r="C45" s="32" t="s">
        <v>137</v>
      </c>
      <c r="D45" s="33" t="s">
        <v>89</v>
      </c>
      <c r="E45" s="33">
        <v>10</v>
      </c>
      <c r="F45" s="33">
        <v>0</v>
      </c>
      <c r="G45" s="34">
        <v>13</v>
      </c>
      <c r="H45" s="34">
        <v>18</v>
      </c>
      <c r="I45" s="35">
        <v>15</v>
      </c>
      <c r="J45" s="45">
        <f>0.75*K108</f>
        <v>134389.47</v>
      </c>
      <c r="K45" s="71"/>
      <c r="L45" s="407">
        <f>I45*J45</f>
        <v>2015842.05</v>
      </c>
      <c r="M45" s="94"/>
      <c r="N45" s="124"/>
      <c r="O45" s="172"/>
      <c r="P45" s="247">
        <v>0</v>
      </c>
      <c r="Q45" s="36">
        <v>0</v>
      </c>
      <c r="R45" s="36">
        <v>0</v>
      </c>
      <c r="S45" s="36">
        <v>0</v>
      </c>
      <c r="T45" s="220"/>
      <c r="U45" s="36">
        <v>0</v>
      </c>
      <c r="V45" s="255">
        <f>T45*1.02*1.02</f>
        <v>0</v>
      </c>
      <c r="W45" s="36">
        <v>0</v>
      </c>
      <c r="X45" s="56">
        <v>0</v>
      </c>
      <c r="Y45" s="226">
        <f>L45*(1+K6)^Y9</f>
        <v>2457300.2105407924</v>
      </c>
      <c r="Z45" s="36">
        <v>0</v>
      </c>
      <c r="AA45" s="36">
        <v>0</v>
      </c>
      <c r="AB45" s="36">
        <v>0</v>
      </c>
      <c r="AC45" s="479">
        <f>V45*1.02*1.02*1.02*1.02*1.02*1.02*1.02</f>
        <v>0</v>
      </c>
      <c r="AD45" s="225">
        <v>0</v>
      </c>
      <c r="AE45" s="36">
        <v>0</v>
      </c>
      <c r="AF45" s="36">
        <v>0</v>
      </c>
      <c r="AG45" s="36">
        <v>0</v>
      </c>
      <c r="AH45" s="56">
        <v>0</v>
      </c>
      <c r="AI45" s="226">
        <f>AC45*1.02*1.02*1.02*1.02*1.02*1.02*1.02</f>
        <v>0</v>
      </c>
      <c r="AJ45" s="248">
        <f>SUM(P45:AI45)</f>
        <v>2457300.2105407924</v>
      </c>
    </row>
    <row r="46" spans="1:37" ht="13.8" x14ac:dyDescent="0.25">
      <c r="A46" s="111">
        <f t="shared" si="1"/>
        <v>37</v>
      </c>
      <c r="B46" s="117" t="s">
        <v>65</v>
      </c>
      <c r="C46" s="32" t="s">
        <v>138</v>
      </c>
      <c r="D46" s="33" t="s">
        <v>89</v>
      </c>
      <c r="E46" s="33">
        <v>20</v>
      </c>
      <c r="F46" s="33">
        <v>5</v>
      </c>
      <c r="G46" s="34">
        <v>14</v>
      </c>
      <c r="H46" s="34">
        <v>20</v>
      </c>
      <c r="I46" s="35">
        <v>18</v>
      </c>
      <c r="J46" s="45">
        <f>0.05*K108</f>
        <v>8959.2980000000007</v>
      </c>
      <c r="K46" s="71"/>
      <c r="L46" s="407">
        <f t="shared" ref="L46:L47" si="6">I46*J46</f>
        <v>161267.364</v>
      </c>
      <c r="M46" s="94"/>
      <c r="N46" s="124"/>
      <c r="O46" s="172"/>
      <c r="P46" s="247"/>
      <c r="Q46" s="36"/>
      <c r="R46" s="36"/>
      <c r="S46" s="36"/>
      <c r="T46" s="227"/>
      <c r="U46" s="36"/>
      <c r="V46" s="36"/>
      <c r="W46" s="36"/>
      <c r="X46" s="56"/>
      <c r="Y46" s="225"/>
      <c r="Z46" s="36"/>
      <c r="AA46" s="36"/>
      <c r="AB46" s="36"/>
      <c r="AC46" s="56"/>
      <c r="AD46" s="225"/>
      <c r="AE46" s="36"/>
      <c r="AF46" s="36"/>
      <c r="AG46" s="36"/>
      <c r="AH46" s="56"/>
      <c r="AI46" s="226">
        <f>L46*(1+K6)^AI9</f>
        <v>239634.81959209338</v>
      </c>
      <c r="AJ46" s="248">
        <f t="shared" ref="AJ46:AJ55" si="7">SUM(P46:AI46)</f>
        <v>239634.81959209338</v>
      </c>
    </row>
    <row r="47" spans="1:37" ht="13.8" x14ac:dyDescent="0.25">
      <c r="A47" s="111">
        <f t="shared" si="1"/>
        <v>38</v>
      </c>
      <c r="B47" s="117" t="s">
        <v>66</v>
      </c>
      <c r="C47" s="32" t="s">
        <v>139</v>
      </c>
      <c r="D47" s="33" t="s">
        <v>89</v>
      </c>
      <c r="E47" s="33">
        <v>10</v>
      </c>
      <c r="F47" s="33">
        <v>0</v>
      </c>
      <c r="G47" s="34">
        <v>5</v>
      </c>
      <c r="H47" s="34">
        <v>8</v>
      </c>
      <c r="I47" s="35">
        <v>6</v>
      </c>
      <c r="J47" s="45">
        <f>0.1*K108</f>
        <v>17918.596000000001</v>
      </c>
      <c r="K47" s="71"/>
      <c r="L47" s="407">
        <f t="shared" si="6"/>
        <v>107511.576</v>
      </c>
      <c r="M47" s="94"/>
      <c r="N47" s="124"/>
      <c r="O47" s="172"/>
      <c r="P47" s="247"/>
      <c r="Q47" s="36"/>
      <c r="R47" s="36"/>
      <c r="S47" s="36"/>
      <c r="T47" s="227"/>
      <c r="U47" s="36"/>
      <c r="V47" s="36"/>
      <c r="W47" s="36"/>
      <c r="X47" s="56"/>
      <c r="Y47" s="226">
        <f>L47*(1+K6)^Y9</f>
        <v>131056.01122884225</v>
      </c>
      <c r="Z47" s="36"/>
      <c r="AA47" s="36"/>
      <c r="AB47" s="36"/>
      <c r="AC47" s="56"/>
      <c r="AD47" s="225"/>
      <c r="AE47" s="36"/>
      <c r="AF47" s="36"/>
      <c r="AG47" s="36"/>
      <c r="AH47" s="56"/>
      <c r="AI47" s="226">
        <f>L47*(1+K6)^AI9</f>
        <v>159756.54639472894</v>
      </c>
      <c r="AJ47" s="248">
        <f t="shared" si="7"/>
        <v>290812.55762357119</v>
      </c>
    </row>
    <row r="48" spans="1:37" ht="26.4" x14ac:dyDescent="0.25">
      <c r="A48" s="111">
        <f t="shared" si="1"/>
        <v>39</v>
      </c>
      <c r="B48" s="117" t="s">
        <v>67</v>
      </c>
      <c r="C48" s="32" t="s">
        <v>148</v>
      </c>
      <c r="D48" s="33" t="s">
        <v>92</v>
      </c>
      <c r="E48" s="33">
        <v>15</v>
      </c>
      <c r="F48" s="33">
        <v>5</v>
      </c>
      <c r="G48" s="34">
        <v>1500</v>
      </c>
      <c r="H48" s="34">
        <v>3000</v>
      </c>
      <c r="I48" s="35">
        <v>2500</v>
      </c>
      <c r="J48" s="45">
        <v>140</v>
      </c>
      <c r="K48" s="71"/>
      <c r="L48" s="99">
        <f>I48*J48</f>
        <v>350000</v>
      </c>
      <c r="M48" s="94"/>
      <c r="N48" s="124"/>
      <c r="O48" s="172"/>
      <c r="P48" s="247"/>
      <c r="Q48" s="36"/>
      <c r="R48" s="36"/>
      <c r="S48" s="36"/>
      <c r="T48" s="227" t="s">
        <v>26</v>
      </c>
      <c r="U48" s="36"/>
      <c r="V48" s="36"/>
      <c r="W48" s="36"/>
      <c r="X48" s="56"/>
      <c r="Y48" s="226" t="s">
        <v>26</v>
      </c>
      <c r="Z48" s="36"/>
      <c r="AA48" s="36"/>
      <c r="AB48" s="36"/>
      <c r="AC48" s="56"/>
      <c r="AD48" s="226">
        <f>L48*(1+K6)^AD9</f>
        <v>471053.91841344524</v>
      </c>
      <c r="AE48" s="36"/>
      <c r="AF48" s="36"/>
      <c r="AG48" s="36"/>
      <c r="AH48" s="56"/>
      <c r="AI48" s="226" t="s">
        <v>26</v>
      </c>
      <c r="AJ48" s="248">
        <f t="shared" si="7"/>
        <v>471053.91841344524</v>
      </c>
    </row>
    <row r="49" spans="1:37" ht="13.8" x14ac:dyDescent="0.25">
      <c r="A49" s="111">
        <f t="shared" si="1"/>
        <v>40</v>
      </c>
      <c r="B49" s="117" t="s">
        <v>68</v>
      </c>
      <c r="C49" s="32" t="s">
        <v>141</v>
      </c>
      <c r="D49" s="33" t="s">
        <v>92</v>
      </c>
      <c r="E49" s="33">
        <v>20</v>
      </c>
      <c r="F49" s="33">
        <v>5</v>
      </c>
      <c r="G49" s="34">
        <v>2500</v>
      </c>
      <c r="H49" s="34">
        <v>3500</v>
      </c>
      <c r="I49" s="35">
        <v>3000</v>
      </c>
      <c r="J49" s="45">
        <v>140</v>
      </c>
      <c r="K49" s="71"/>
      <c r="L49" s="99">
        <f>I49*J49</f>
        <v>420000</v>
      </c>
      <c r="M49" s="94"/>
      <c r="N49" s="124"/>
      <c r="O49" s="172"/>
      <c r="P49" s="247"/>
      <c r="Q49" s="36"/>
      <c r="R49" s="36"/>
      <c r="S49" s="36"/>
      <c r="T49" s="227" t="s">
        <v>26</v>
      </c>
      <c r="U49" s="36"/>
      <c r="V49" s="36"/>
      <c r="W49" s="36"/>
      <c r="X49" s="56"/>
      <c r="Y49" s="226" t="s">
        <v>26</v>
      </c>
      <c r="Z49" s="36"/>
      <c r="AA49" s="36"/>
      <c r="AB49" s="36"/>
      <c r="AC49" s="56"/>
      <c r="AD49" s="225"/>
      <c r="AE49" s="36"/>
      <c r="AF49" s="36"/>
      <c r="AG49" s="36"/>
      <c r="AH49" s="56"/>
      <c r="AI49" s="226">
        <f>L49*(1+K6)^AI9</f>
        <v>624097.90631090873</v>
      </c>
      <c r="AJ49" s="248">
        <f t="shared" si="7"/>
        <v>624097.90631090873</v>
      </c>
    </row>
    <row r="50" spans="1:37" ht="13.8" x14ac:dyDescent="0.25">
      <c r="A50" s="111">
        <f t="shared" si="1"/>
        <v>41</v>
      </c>
      <c r="B50" s="117" t="s">
        <v>69</v>
      </c>
      <c r="C50" s="32" t="s">
        <v>140</v>
      </c>
      <c r="D50" s="33" t="s">
        <v>92</v>
      </c>
      <c r="E50" s="33">
        <v>20</v>
      </c>
      <c r="F50" s="33">
        <v>5</v>
      </c>
      <c r="G50" s="34">
        <v>14000</v>
      </c>
      <c r="H50" s="34">
        <v>18000</v>
      </c>
      <c r="I50" s="35">
        <v>15000</v>
      </c>
      <c r="J50" s="45">
        <v>140</v>
      </c>
      <c r="K50" s="71"/>
      <c r="L50" s="99">
        <f t="shared" ref="L50:L52" si="8">I50*J50</f>
        <v>2100000</v>
      </c>
      <c r="M50" s="94"/>
      <c r="N50" s="124"/>
      <c r="O50" s="172"/>
      <c r="P50" s="247"/>
      <c r="Q50" s="36"/>
      <c r="R50" s="36"/>
      <c r="S50" s="36"/>
      <c r="T50" s="227" t="s">
        <v>26</v>
      </c>
      <c r="U50" s="36"/>
      <c r="V50" s="36"/>
      <c r="W50" s="36"/>
      <c r="X50" s="56"/>
      <c r="Y50" s="226" t="s">
        <v>26</v>
      </c>
      <c r="Z50" s="36"/>
      <c r="AA50" s="36"/>
      <c r="AB50" s="36"/>
      <c r="AC50" s="56"/>
      <c r="AD50" s="225"/>
      <c r="AE50" s="36"/>
      <c r="AF50" s="36"/>
      <c r="AG50" s="36"/>
      <c r="AH50" s="56"/>
      <c r="AI50" s="226">
        <f>L50*(1+K6)^AI9</f>
        <v>3120489.5315545439</v>
      </c>
      <c r="AJ50" s="248">
        <f t="shared" si="7"/>
        <v>3120489.5315545439</v>
      </c>
    </row>
    <row r="51" spans="1:37" ht="13.8" x14ac:dyDescent="0.25">
      <c r="A51" s="111">
        <f t="shared" si="1"/>
        <v>42</v>
      </c>
      <c r="B51" s="117" t="s">
        <v>70</v>
      </c>
      <c r="C51" s="32" t="s">
        <v>142</v>
      </c>
      <c r="D51" s="33" t="s">
        <v>92</v>
      </c>
      <c r="E51" s="33">
        <v>10</v>
      </c>
      <c r="F51" s="33">
        <v>0</v>
      </c>
      <c r="G51" s="34">
        <v>3000</v>
      </c>
      <c r="H51" s="34">
        <v>5000</v>
      </c>
      <c r="I51" s="35">
        <v>4000</v>
      </c>
      <c r="J51" s="45">
        <v>140</v>
      </c>
      <c r="K51" s="71"/>
      <c r="L51" s="99">
        <f t="shared" si="8"/>
        <v>560000</v>
      </c>
      <c r="M51" s="94"/>
      <c r="N51" s="124"/>
      <c r="O51" s="172"/>
      <c r="P51" s="247"/>
      <c r="Q51" s="36"/>
      <c r="R51" s="36"/>
      <c r="S51" s="36"/>
      <c r="T51" s="220" t="s">
        <v>26</v>
      </c>
      <c r="U51" s="36"/>
      <c r="V51" s="36"/>
      <c r="W51" s="36"/>
      <c r="X51" s="56"/>
      <c r="Y51" s="226">
        <f>L51*(1+K6)^Y9</f>
        <v>682636.87519706402</v>
      </c>
      <c r="Z51" s="36"/>
      <c r="AA51" s="36"/>
      <c r="AB51" s="36"/>
      <c r="AC51" s="56"/>
      <c r="AD51" s="225"/>
      <c r="AE51" s="36"/>
      <c r="AF51" s="36"/>
      <c r="AG51" s="36"/>
      <c r="AH51" s="56"/>
      <c r="AI51" s="226">
        <f>L51*(1+K6)^AI9</f>
        <v>832130.54174787842</v>
      </c>
      <c r="AJ51" s="248">
        <f t="shared" si="7"/>
        <v>1514767.4169449424</v>
      </c>
    </row>
    <row r="52" spans="1:37" ht="13.8" x14ac:dyDescent="0.25">
      <c r="A52" s="111">
        <f t="shared" si="1"/>
        <v>43</v>
      </c>
      <c r="B52" s="117" t="s">
        <v>75</v>
      </c>
      <c r="C52" s="32" t="s">
        <v>81</v>
      </c>
      <c r="D52" s="33" t="s">
        <v>92</v>
      </c>
      <c r="E52" s="33">
        <v>10</v>
      </c>
      <c r="F52" s="33">
        <v>0</v>
      </c>
      <c r="G52" s="34">
        <v>1000</v>
      </c>
      <c r="H52" s="34">
        <v>3000</v>
      </c>
      <c r="I52" s="35">
        <v>1500</v>
      </c>
      <c r="J52" s="45">
        <v>140</v>
      </c>
      <c r="K52" s="71"/>
      <c r="L52" s="99">
        <f t="shared" si="8"/>
        <v>210000</v>
      </c>
      <c r="M52" s="94"/>
      <c r="N52" s="124"/>
      <c r="O52" s="172"/>
      <c r="P52" s="247"/>
      <c r="Q52" s="36"/>
      <c r="R52" s="36"/>
      <c r="S52" s="36"/>
      <c r="T52" s="220" t="s">
        <v>26</v>
      </c>
      <c r="U52" s="36"/>
      <c r="V52" s="36"/>
      <c r="W52" s="36"/>
      <c r="X52" s="56"/>
      <c r="Y52" s="226">
        <f>L52*(1+K6)^Y9</f>
        <v>255988.82819889899</v>
      </c>
      <c r="Z52" s="36"/>
      <c r="AA52" s="36"/>
      <c r="AB52" s="36"/>
      <c r="AC52" s="56"/>
      <c r="AD52" s="225"/>
      <c r="AE52" s="36"/>
      <c r="AF52" s="36"/>
      <c r="AG52" s="36"/>
      <c r="AH52" s="56"/>
      <c r="AI52" s="226">
        <f>L52*(1+K6)^AI9</f>
        <v>312048.95315545436</v>
      </c>
      <c r="AJ52" s="248">
        <f t="shared" si="7"/>
        <v>568037.7813543533</v>
      </c>
    </row>
    <row r="53" spans="1:37" ht="13.8" x14ac:dyDescent="0.25">
      <c r="A53" s="111">
        <f t="shared" si="1"/>
        <v>44</v>
      </c>
      <c r="B53" s="117"/>
      <c r="C53" s="43"/>
      <c r="D53" s="33"/>
      <c r="E53" s="33"/>
      <c r="F53" s="33"/>
      <c r="G53" s="34"/>
      <c r="H53" s="34"/>
      <c r="I53" s="35"/>
      <c r="J53" s="45"/>
      <c r="K53" s="71"/>
      <c r="L53" s="99"/>
      <c r="M53" s="94"/>
      <c r="N53" s="124"/>
      <c r="O53" s="172"/>
      <c r="P53" s="247"/>
      <c r="Q53" s="36"/>
      <c r="R53" s="36"/>
      <c r="S53" s="36"/>
      <c r="T53" s="220" t="s">
        <v>26</v>
      </c>
      <c r="U53" s="36"/>
      <c r="V53" s="36"/>
      <c r="W53" s="36"/>
      <c r="X53" s="56"/>
      <c r="Y53" s="226" t="s">
        <v>26</v>
      </c>
      <c r="Z53" s="36"/>
      <c r="AA53" s="36"/>
      <c r="AB53" s="36"/>
      <c r="AC53" s="56"/>
      <c r="AD53" s="225"/>
      <c r="AE53" s="36"/>
      <c r="AF53" s="36"/>
      <c r="AG53" s="36"/>
      <c r="AH53" s="56"/>
      <c r="AI53" s="225"/>
      <c r="AJ53" s="248">
        <f t="shared" si="7"/>
        <v>0</v>
      </c>
    </row>
    <row r="54" spans="1:37" ht="13.8" x14ac:dyDescent="0.25">
      <c r="A54" s="111">
        <f t="shared" si="1"/>
        <v>45</v>
      </c>
      <c r="B54" s="117" t="s">
        <v>71</v>
      </c>
      <c r="C54" s="32" t="s">
        <v>144</v>
      </c>
      <c r="D54" s="33" t="s">
        <v>92</v>
      </c>
      <c r="E54" s="33">
        <v>20</v>
      </c>
      <c r="F54" s="33">
        <v>5</v>
      </c>
      <c r="G54" s="34">
        <v>1000</v>
      </c>
      <c r="H54" s="34">
        <v>2500</v>
      </c>
      <c r="I54" s="35">
        <v>1500</v>
      </c>
      <c r="J54" s="45">
        <v>256</v>
      </c>
      <c r="K54" s="71"/>
      <c r="L54" s="99">
        <f>I54*J54</f>
        <v>384000</v>
      </c>
      <c r="M54" s="94"/>
      <c r="N54" s="124"/>
      <c r="O54" s="172"/>
      <c r="P54" s="247"/>
      <c r="Q54" s="36"/>
      <c r="R54" s="36"/>
      <c r="S54" s="36"/>
      <c r="T54" s="227" t="s">
        <v>26</v>
      </c>
      <c r="U54" s="36"/>
      <c r="V54" s="36"/>
      <c r="W54" s="36"/>
      <c r="X54" s="56"/>
      <c r="Y54" s="226" t="s">
        <v>26</v>
      </c>
      <c r="Z54" s="36"/>
      <c r="AA54" s="36"/>
      <c r="AB54" s="36"/>
      <c r="AC54" s="56"/>
      <c r="AD54" s="225"/>
      <c r="AE54" s="36"/>
      <c r="AF54" s="36"/>
      <c r="AG54" s="36"/>
      <c r="AH54" s="56"/>
      <c r="AI54" s="226">
        <f>L54*(1+K6)^AI9</f>
        <v>570603.80005568801</v>
      </c>
      <c r="AJ54" s="248">
        <f>SUM(P54:AI54)</f>
        <v>570603.80005568801</v>
      </c>
    </row>
    <row r="55" spans="1:37" ht="13.8" x14ac:dyDescent="0.25">
      <c r="A55" s="111">
        <f t="shared" si="1"/>
        <v>46</v>
      </c>
      <c r="B55" s="117" t="s">
        <v>72</v>
      </c>
      <c r="C55" s="32" t="s">
        <v>262</v>
      </c>
      <c r="D55" s="33" t="s">
        <v>92</v>
      </c>
      <c r="E55" s="33">
        <v>50</v>
      </c>
      <c r="F55" s="33">
        <v>15</v>
      </c>
      <c r="G55" s="34">
        <v>250</v>
      </c>
      <c r="H55" s="34">
        <v>500</v>
      </c>
      <c r="I55" s="35">
        <v>350</v>
      </c>
      <c r="J55" s="45">
        <v>256</v>
      </c>
      <c r="K55" s="71"/>
      <c r="L55" s="99">
        <f t="shared" ref="L55:L58" si="9">I55*J55</f>
        <v>89600</v>
      </c>
      <c r="M55" s="94"/>
      <c r="N55" s="124"/>
      <c r="O55" s="172"/>
      <c r="P55" s="247"/>
      <c r="Q55" s="36"/>
      <c r="R55" s="36"/>
      <c r="S55" s="36"/>
      <c r="T55" s="220" t="s">
        <v>26</v>
      </c>
      <c r="U55" s="36"/>
      <c r="V55" s="36"/>
      <c r="W55" s="36"/>
      <c r="X55" s="56"/>
      <c r="Y55" s="225" t="s">
        <v>26</v>
      </c>
      <c r="Z55" s="36"/>
      <c r="AA55" s="36"/>
      <c r="AB55" s="36"/>
      <c r="AC55" s="56"/>
      <c r="AD55" s="226" t="s">
        <v>26</v>
      </c>
      <c r="AE55" s="36"/>
      <c r="AF55" s="36"/>
      <c r="AG55" s="36"/>
      <c r="AH55" s="56"/>
      <c r="AI55" s="225"/>
      <c r="AJ55" s="248">
        <f t="shared" si="7"/>
        <v>0</v>
      </c>
    </row>
    <row r="56" spans="1:37" ht="13.8" x14ac:dyDescent="0.25">
      <c r="A56" s="111">
        <f t="shared" si="1"/>
        <v>47</v>
      </c>
      <c r="B56" s="117" t="s">
        <v>74</v>
      </c>
      <c r="C56" s="32" t="s">
        <v>145</v>
      </c>
      <c r="D56" s="33" t="s">
        <v>92</v>
      </c>
      <c r="E56" s="33">
        <v>15</v>
      </c>
      <c r="F56" s="33">
        <v>0</v>
      </c>
      <c r="G56" s="34">
        <v>200</v>
      </c>
      <c r="H56" s="34">
        <v>400</v>
      </c>
      <c r="I56" s="35">
        <v>300</v>
      </c>
      <c r="J56" s="45">
        <v>256</v>
      </c>
      <c r="K56" s="71"/>
      <c r="L56" s="99">
        <f t="shared" si="9"/>
        <v>76800</v>
      </c>
      <c r="M56" s="94"/>
      <c r="N56" s="124"/>
      <c r="O56" s="172"/>
      <c r="P56" s="247">
        <v>0</v>
      </c>
      <c r="Q56" s="36">
        <v>0</v>
      </c>
      <c r="R56" s="36">
        <v>0</v>
      </c>
      <c r="S56" s="36">
        <v>0</v>
      </c>
      <c r="T56" s="220" t="s">
        <v>26</v>
      </c>
      <c r="U56" s="36">
        <v>0</v>
      </c>
      <c r="V56" s="36">
        <v>0</v>
      </c>
      <c r="W56" s="36">
        <v>0</v>
      </c>
      <c r="X56" s="56">
        <v>0</v>
      </c>
      <c r="Y56" s="225" t="s">
        <v>26</v>
      </c>
      <c r="Z56" s="36">
        <v>0</v>
      </c>
      <c r="AA56" s="36">
        <v>0</v>
      </c>
      <c r="AB56" s="36">
        <v>0</v>
      </c>
      <c r="AC56" s="56">
        <v>0</v>
      </c>
      <c r="AD56" s="226">
        <f>L56*(1+K6)^AD9</f>
        <v>103362.68838329312</v>
      </c>
      <c r="AE56" s="36">
        <v>0</v>
      </c>
      <c r="AF56" s="36">
        <v>0</v>
      </c>
      <c r="AG56" s="36">
        <v>0</v>
      </c>
      <c r="AH56" s="56">
        <v>0</v>
      </c>
      <c r="AI56" s="226" t="s">
        <v>26</v>
      </c>
      <c r="AJ56" s="248">
        <f>SUM(P56:AI56)</f>
        <v>103362.68838329312</v>
      </c>
    </row>
    <row r="57" spans="1:37" ht="26.4" x14ac:dyDescent="0.25">
      <c r="A57" s="111">
        <f t="shared" si="1"/>
        <v>48</v>
      </c>
      <c r="B57" s="117" t="s">
        <v>166</v>
      </c>
      <c r="C57" s="32" t="s">
        <v>167</v>
      </c>
      <c r="D57" s="33" t="s">
        <v>92</v>
      </c>
      <c r="E57" s="33">
        <v>15</v>
      </c>
      <c r="F57" s="33">
        <v>0</v>
      </c>
      <c r="G57" s="34">
        <v>7000</v>
      </c>
      <c r="H57" s="34">
        <v>9000</v>
      </c>
      <c r="I57" s="35">
        <v>8000</v>
      </c>
      <c r="J57" s="45">
        <v>140</v>
      </c>
      <c r="K57" s="71"/>
      <c r="L57" s="99">
        <f t="shared" si="9"/>
        <v>1120000</v>
      </c>
      <c r="M57" s="94"/>
      <c r="N57" s="124"/>
      <c r="O57" s="172"/>
      <c r="P57" s="247"/>
      <c r="Q57" s="36"/>
      <c r="R57" s="36"/>
      <c r="S57" s="36"/>
      <c r="T57" s="220" t="s">
        <v>26</v>
      </c>
      <c r="U57" s="36"/>
      <c r="V57" s="36"/>
      <c r="W57" s="36"/>
      <c r="X57" s="56"/>
      <c r="Y57" s="225" t="s">
        <v>26</v>
      </c>
      <c r="Z57" s="36"/>
      <c r="AA57" s="36"/>
      <c r="AB57" s="36"/>
      <c r="AC57" s="56"/>
      <c r="AD57" s="226">
        <f>L57*(1+K6)^AD9</f>
        <v>1507372.5389230247</v>
      </c>
      <c r="AE57" s="36"/>
      <c r="AF57" s="36"/>
      <c r="AG57" s="36"/>
      <c r="AH57" s="56"/>
      <c r="AI57" s="225"/>
      <c r="AJ57" s="248">
        <f>SUM(P57:AI57)</f>
        <v>1507372.5389230247</v>
      </c>
    </row>
    <row r="58" spans="1:37" ht="13.8" x14ac:dyDescent="0.25">
      <c r="A58" s="111">
        <f t="shared" si="1"/>
        <v>49</v>
      </c>
      <c r="B58" s="117" t="s">
        <v>143</v>
      </c>
      <c r="C58" s="32" t="s">
        <v>149</v>
      </c>
      <c r="D58" s="33" t="s">
        <v>92</v>
      </c>
      <c r="E58" s="33">
        <v>10</v>
      </c>
      <c r="F58" s="33">
        <v>0</v>
      </c>
      <c r="G58" s="34">
        <v>3000</v>
      </c>
      <c r="H58" s="34">
        <v>7000</v>
      </c>
      <c r="I58" s="35">
        <v>5000</v>
      </c>
      <c r="J58" s="45">
        <v>140</v>
      </c>
      <c r="K58" s="71"/>
      <c r="L58" s="99">
        <f t="shared" si="9"/>
        <v>700000</v>
      </c>
      <c r="M58" s="94"/>
      <c r="N58" s="124" t="s">
        <v>26</v>
      </c>
      <c r="O58" s="172"/>
      <c r="P58" s="247">
        <v>0</v>
      </c>
      <c r="Q58" s="36">
        <v>0</v>
      </c>
      <c r="R58" s="36">
        <v>0</v>
      </c>
      <c r="S58" s="36">
        <v>0</v>
      </c>
      <c r="T58" s="221" t="s">
        <v>26</v>
      </c>
      <c r="U58" s="50">
        <v>0</v>
      </c>
      <c r="V58" s="50">
        <v>0</v>
      </c>
      <c r="W58" s="50">
        <v>0</v>
      </c>
      <c r="X58" s="61">
        <v>0</v>
      </c>
      <c r="Y58" s="236">
        <f>L58*(1+K6)^Y9</f>
        <v>853296.09399632993</v>
      </c>
      <c r="Z58" s="50">
        <v>0</v>
      </c>
      <c r="AA58" s="50">
        <v>0</v>
      </c>
      <c r="AB58" s="50">
        <v>0</v>
      </c>
      <c r="AC58" s="61">
        <v>0</v>
      </c>
      <c r="AD58" s="480" t="s">
        <v>26</v>
      </c>
      <c r="AE58" s="50">
        <v>0</v>
      </c>
      <c r="AF58" s="50">
        <v>0</v>
      </c>
      <c r="AG58" s="50">
        <v>0</v>
      </c>
      <c r="AH58" s="61">
        <v>0</v>
      </c>
      <c r="AI58" s="236">
        <f>L58*(1+K6)^AI9</f>
        <v>1040163.177184848</v>
      </c>
      <c r="AJ58" s="256">
        <f>SUM(P58:AI58)</f>
        <v>1893459.2711811778</v>
      </c>
    </row>
    <row r="59" spans="1:37" ht="13.8" x14ac:dyDescent="0.25">
      <c r="A59" s="111">
        <f t="shared" si="1"/>
        <v>50</v>
      </c>
      <c r="B59" s="117"/>
      <c r="C59" s="32"/>
      <c r="D59" s="33"/>
      <c r="E59" s="33"/>
      <c r="F59" s="33"/>
      <c r="G59" s="34"/>
      <c r="H59" s="34"/>
      <c r="I59" s="35"/>
      <c r="J59" s="45"/>
      <c r="K59" s="499"/>
      <c r="L59" s="500"/>
      <c r="M59" s="501"/>
      <c r="N59" s="124"/>
      <c r="O59" s="172"/>
      <c r="P59" s="247"/>
      <c r="Q59" s="36"/>
      <c r="R59" s="36"/>
      <c r="S59" s="56"/>
      <c r="T59" s="456"/>
      <c r="U59" s="62"/>
      <c r="V59" s="62"/>
      <c r="W59" s="62"/>
      <c r="X59" s="62"/>
      <c r="Y59" s="540"/>
      <c r="Z59" s="62"/>
      <c r="AA59" s="62"/>
      <c r="AB59" s="62"/>
      <c r="AC59" s="62"/>
      <c r="AD59" s="456"/>
      <c r="AE59" s="62"/>
      <c r="AF59" s="62"/>
      <c r="AG59" s="62"/>
      <c r="AH59" s="62"/>
      <c r="AI59" s="540"/>
      <c r="AJ59" s="256"/>
    </row>
    <row r="60" spans="1:37" ht="26.4" x14ac:dyDescent="0.25">
      <c r="A60" s="111">
        <f t="shared" si="1"/>
        <v>51</v>
      </c>
      <c r="B60" s="169" t="s">
        <v>333</v>
      </c>
      <c r="C60" s="131" t="s">
        <v>331</v>
      </c>
      <c r="D60" s="33"/>
      <c r="E60" s="33"/>
      <c r="F60" s="33"/>
      <c r="G60" s="34">
        <v>12000</v>
      </c>
      <c r="H60" s="34">
        <v>20000</v>
      </c>
      <c r="I60" s="35">
        <v>18000</v>
      </c>
      <c r="J60" s="45">
        <v>14</v>
      </c>
      <c r="K60" s="499"/>
      <c r="L60" s="500">
        <v>0</v>
      </c>
      <c r="M60" s="501"/>
      <c r="N60" s="124"/>
      <c r="O60" s="172"/>
      <c r="P60" s="247"/>
      <c r="Q60" s="36"/>
      <c r="R60" s="36"/>
      <c r="S60" s="56"/>
      <c r="T60" s="540">
        <f>L60*(1+K6)^T9</f>
        <v>0</v>
      </c>
      <c r="U60" s="62"/>
      <c r="V60" s="62"/>
      <c r="W60" s="62"/>
      <c r="X60" s="62"/>
      <c r="Y60" s="540"/>
      <c r="Z60" s="62"/>
      <c r="AA60" s="62"/>
      <c r="AB60" s="62"/>
      <c r="AC60" s="62"/>
      <c r="AD60" s="456"/>
      <c r="AE60" s="62"/>
      <c r="AF60" s="62"/>
      <c r="AG60" s="62"/>
      <c r="AH60" s="62"/>
      <c r="AI60" s="540"/>
      <c r="AJ60" s="248">
        <f t="shared" ref="AJ60:AJ61" si="10">SUM(P60:AI60)</f>
        <v>0</v>
      </c>
    </row>
    <row r="61" spans="1:37" ht="26.4" x14ac:dyDescent="0.25">
      <c r="A61" s="111">
        <f t="shared" si="1"/>
        <v>52</v>
      </c>
      <c r="B61" s="169" t="s">
        <v>334</v>
      </c>
      <c r="C61" s="131" t="s">
        <v>332</v>
      </c>
      <c r="D61" s="33"/>
      <c r="E61" s="33"/>
      <c r="F61" s="33"/>
      <c r="G61" s="34">
        <v>5000</v>
      </c>
      <c r="H61" s="34">
        <v>8000</v>
      </c>
      <c r="I61" s="35">
        <v>6000</v>
      </c>
      <c r="J61" s="45">
        <v>14</v>
      </c>
      <c r="K61" s="499"/>
      <c r="L61" s="500">
        <v>0</v>
      </c>
      <c r="M61" s="501"/>
      <c r="N61" s="124"/>
      <c r="O61" s="172"/>
      <c r="P61" s="247"/>
      <c r="Q61" s="36"/>
      <c r="R61" s="36"/>
      <c r="S61" s="56"/>
      <c r="T61" s="540">
        <f>L61*(1+K6)^T9</f>
        <v>0</v>
      </c>
      <c r="U61" s="62"/>
      <c r="V61" s="62"/>
      <c r="W61" s="62"/>
      <c r="X61" s="62"/>
      <c r="Y61" s="540"/>
      <c r="Z61" s="62"/>
      <c r="AA61" s="62"/>
      <c r="AB61" s="62"/>
      <c r="AC61" s="62"/>
      <c r="AD61" s="456"/>
      <c r="AE61" s="62"/>
      <c r="AF61" s="62"/>
      <c r="AG61" s="62"/>
      <c r="AH61" s="62"/>
      <c r="AI61" s="540"/>
      <c r="AJ61" s="248">
        <f t="shared" si="10"/>
        <v>0</v>
      </c>
    </row>
    <row r="62" spans="1:37" ht="14.4" thickBot="1" x14ac:dyDescent="0.3">
      <c r="A62" s="111">
        <f t="shared" si="1"/>
        <v>53</v>
      </c>
      <c r="B62" s="117"/>
      <c r="C62" s="32"/>
      <c r="D62" s="33"/>
      <c r="E62" s="33"/>
      <c r="F62" s="51"/>
      <c r="G62" s="34"/>
      <c r="H62" s="34"/>
      <c r="I62" s="35"/>
      <c r="J62" s="45"/>
      <c r="K62" s="137"/>
      <c r="L62" s="138"/>
      <c r="M62" s="139"/>
      <c r="N62" s="124"/>
      <c r="O62" s="172"/>
      <c r="P62" s="247"/>
      <c r="Q62" s="36"/>
      <c r="R62" s="36"/>
      <c r="S62" s="36"/>
      <c r="T62" s="462"/>
      <c r="U62" s="534"/>
      <c r="V62" s="535"/>
      <c r="W62" s="536"/>
      <c r="X62" s="537"/>
      <c r="Y62" s="538"/>
      <c r="Z62" s="536"/>
      <c r="AA62" s="536"/>
      <c r="AB62" s="536"/>
      <c r="AC62" s="537"/>
      <c r="AD62" s="539"/>
      <c r="AE62" s="536"/>
      <c r="AF62" s="536"/>
      <c r="AG62" s="536"/>
      <c r="AH62" s="537"/>
      <c r="AI62" s="539"/>
      <c r="AJ62" s="256" t="s">
        <v>26</v>
      </c>
    </row>
    <row r="63" spans="1:37" ht="1.2" customHeight="1" thickTop="1" thickBot="1" x14ac:dyDescent="0.3">
      <c r="A63" s="111">
        <f t="shared" si="1"/>
        <v>54</v>
      </c>
      <c r="B63" s="231"/>
      <c r="C63" s="232"/>
      <c r="D63" s="46"/>
      <c r="E63" s="46"/>
      <c r="F63" s="233"/>
      <c r="G63" s="47"/>
      <c r="H63" s="47"/>
      <c r="I63" s="48"/>
      <c r="J63" s="604"/>
      <c r="K63" s="136"/>
      <c r="L63" s="136"/>
      <c r="M63" s="102"/>
      <c r="N63" s="124"/>
      <c r="O63" s="172"/>
      <c r="P63" s="247"/>
      <c r="Q63" s="50"/>
      <c r="R63" s="50"/>
      <c r="S63" s="50"/>
      <c r="T63" s="221"/>
      <c r="U63" s="50"/>
      <c r="V63" s="237"/>
      <c r="W63" s="132"/>
      <c r="X63" s="132"/>
      <c r="Y63" s="234"/>
      <c r="Z63" s="132"/>
      <c r="AA63" s="132"/>
      <c r="AB63" s="132"/>
      <c r="AC63" s="132"/>
      <c r="AD63" s="234"/>
      <c r="AE63" s="132"/>
      <c r="AF63" s="132"/>
      <c r="AG63" s="132"/>
      <c r="AH63" s="132"/>
      <c r="AI63" s="234"/>
      <c r="AJ63" s="256" t="s">
        <v>26</v>
      </c>
    </row>
    <row r="64" spans="1:37" ht="32.4" customHeight="1" thickBot="1" x14ac:dyDescent="0.35">
      <c r="A64" s="111">
        <f t="shared" si="1"/>
        <v>55</v>
      </c>
      <c r="B64" s="150"/>
      <c r="C64" s="64" t="s">
        <v>288</v>
      </c>
      <c r="D64" s="46"/>
      <c r="E64" s="46"/>
      <c r="F64" s="46"/>
      <c r="G64" s="47"/>
      <c r="H64" s="47"/>
      <c r="I64" s="48"/>
      <c r="J64" s="604"/>
      <c r="K64" s="145">
        <f>SUM(K40:K62)</f>
        <v>0</v>
      </c>
      <c r="L64" s="235">
        <f>SUM(L40:L62)</f>
        <v>9335020.9900000002</v>
      </c>
      <c r="M64" s="146">
        <f>SUM(M40:M62)</f>
        <v>0</v>
      </c>
      <c r="N64" s="124"/>
      <c r="O64" s="172"/>
      <c r="P64" s="643" t="s">
        <v>291</v>
      </c>
      <c r="Q64" s="644"/>
      <c r="R64" s="644"/>
      <c r="S64" s="645"/>
      <c r="T64" s="507">
        <f t="shared" ref="T64:AI64" si="11">SUM(T40:T62)</f>
        <v>0</v>
      </c>
      <c r="U64" s="266">
        <f t="shared" si="11"/>
        <v>0</v>
      </c>
      <c r="V64" s="266">
        <f t="shared" si="11"/>
        <v>0</v>
      </c>
      <c r="W64" s="267">
        <f t="shared" si="11"/>
        <v>0</v>
      </c>
      <c r="X64" s="408">
        <f t="shared" si="11"/>
        <v>0</v>
      </c>
      <c r="Y64" s="410">
        <f t="shared" si="11"/>
        <v>4380278.0191619275</v>
      </c>
      <c r="Z64" s="409">
        <f t="shared" si="11"/>
        <v>0</v>
      </c>
      <c r="AA64" s="268">
        <f t="shared" si="11"/>
        <v>0</v>
      </c>
      <c r="AB64" s="268">
        <f t="shared" si="11"/>
        <v>0</v>
      </c>
      <c r="AC64" s="408">
        <f t="shared" si="11"/>
        <v>0</v>
      </c>
      <c r="AD64" s="410">
        <f t="shared" si="11"/>
        <v>2081789.1457197629</v>
      </c>
      <c r="AE64" s="409">
        <f t="shared" si="11"/>
        <v>0</v>
      </c>
      <c r="AF64" s="268">
        <f t="shared" si="11"/>
        <v>0</v>
      </c>
      <c r="AG64" s="268">
        <f t="shared" si="11"/>
        <v>0</v>
      </c>
      <c r="AH64" s="408">
        <f t="shared" si="11"/>
        <v>0</v>
      </c>
      <c r="AI64" s="410">
        <f t="shared" si="11"/>
        <v>6898925.2759961439</v>
      </c>
      <c r="AJ64" s="412">
        <f>SUM(P64:AI64)</f>
        <v>13360992.440877834</v>
      </c>
      <c r="AK64" s="414"/>
    </row>
    <row r="65" spans="1:37" ht="14.4" thickBot="1" x14ac:dyDescent="0.3">
      <c r="A65" s="111">
        <f t="shared" si="1"/>
        <v>56</v>
      </c>
      <c r="B65" s="269"/>
      <c r="C65" s="270"/>
      <c r="D65" s="271"/>
      <c r="E65" s="271"/>
      <c r="F65" s="271"/>
      <c r="G65" s="272"/>
      <c r="H65" s="272"/>
      <c r="I65" s="273"/>
      <c r="J65" s="605"/>
      <c r="K65" s="196"/>
      <c r="L65" s="197"/>
      <c r="M65" s="198"/>
      <c r="N65" s="419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415" t="s">
        <v>26</v>
      </c>
      <c r="AK65" s="414"/>
    </row>
    <row r="66" spans="1:37" ht="42.45" customHeight="1" thickBot="1" x14ac:dyDescent="0.35">
      <c r="A66" s="111">
        <f t="shared" si="1"/>
        <v>57</v>
      </c>
      <c r="B66" s="274" t="s">
        <v>59</v>
      </c>
      <c r="C66" s="275" t="s">
        <v>40</v>
      </c>
      <c r="D66" s="276"/>
      <c r="E66" s="277" t="s">
        <v>16</v>
      </c>
      <c r="F66" s="277" t="s">
        <v>17</v>
      </c>
      <c r="G66" s="277" t="s">
        <v>18</v>
      </c>
      <c r="H66" s="277" t="s">
        <v>19</v>
      </c>
      <c r="I66" s="278" t="s">
        <v>20</v>
      </c>
      <c r="J66" s="606" t="s">
        <v>21</v>
      </c>
      <c r="K66" s="140" t="s">
        <v>42</v>
      </c>
      <c r="L66" s="141" t="s">
        <v>43</v>
      </c>
      <c r="M66" s="142" t="s">
        <v>44</v>
      </c>
      <c r="N66" s="142" t="s">
        <v>80</v>
      </c>
      <c r="O66" s="173"/>
      <c r="P66" s="257"/>
      <c r="Q66" s="96"/>
      <c r="R66" s="90"/>
      <c r="S66" s="90"/>
      <c r="T66" s="90"/>
      <c r="U66" s="90"/>
      <c r="V66" s="90"/>
      <c r="W66" s="90"/>
      <c r="X66" s="481"/>
      <c r="Y66" s="483"/>
      <c r="Z66" s="96"/>
      <c r="AA66" s="90"/>
      <c r="AB66" s="90"/>
      <c r="AC66" s="481"/>
      <c r="AD66" s="483"/>
      <c r="AE66" s="96"/>
      <c r="AF66" s="90"/>
      <c r="AG66" s="90"/>
      <c r="AH66" s="481"/>
      <c r="AI66" s="483"/>
      <c r="AJ66" s="420" t="s">
        <v>26</v>
      </c>
      <c r="AK66" s="414"/>
    </row>
    <row r="67" spans="1:37" ht="26.4" x14ac:dyDescent="0.25">
      <c r="A67" s="111">
        <f t="shared" si="1"/>
        <v>58</v>
      </c>
      <c r="B67" s="169" t="s">
        <v>164</v>
      </c>
      <c r="C67" s="131" t="s">
        <v>165</v>
      </c>
      <c r="D67" s="78" t="s">
        <v>92</v>
      </c>
      <c r="E67" s="78">
        <v>50</v>
      </c>
      <c r="F67" s="78">
        <v>0</v>
      </c>
      <c r="G67" s="79">
        <v>70000</v>
      </c>
      <c r="H67" s="79">
        <v>100000</v>
      </c>
      <c r="I67" s="80">
        <v>85000</v>
      </c>
      <c r="J67" s="303">
        <v>6</v>
      </c>
      <c r="K67" s="168">
        <f>I67*J67</f>
        <v>510000</v>
      </c>
      <c r="L67" s="101"/>
      <c r="M67" s="103"/>
      <c r="N67" s="103"/>
      <c r="O67" s="176"/>
      <c r="P67" s="258"/>
      <c r="Q67" s="97"/>
      <c r="R67" s="81"/>
      <c r="S67" s="81"/>
      <c r="T67" s="222"/>
      <c r="U67" s="81"/>
      <c r="V67" s="81"/>
      <c r="W67" s="81"/>
      <c r="X67" s="482"/>
      <c r="Y67" s="484"/>
      <c r="Z67" s="97"/>
      <c r="AA67" s="81"/>
      <c r="AB67" s="81"/>
      <c r="AC67" s="482"/>
      <c r="AD67" s="484"/>
      <c r="AE67" s="97"/>
      <c r="AF67" s="81"/>
      <c r="AG67" s="81"/>
      <c r="AH67" s="482"/>
      <c r="AI67" s="484"/>
      <c r="AJ67" s="256" t="s">
        <v>26</v>
      </c>
    </row>
    <row r="68" spans="1:37" ht="13.8" x14ac:dyDescent="0.25">
      <c r="A68" s="111">
        <f t="shared" si="1"/>
        <v>59</v>
      </c>
      <c r="B68" s="91" t="s">
        <v>60</v>
      </c>
      <c r="C68" s="131" t="s">
        <v>162</v>
      </c>
      <c r="D68" s="78" t="s">
        <v>92</v>
      </c>
      <c r="E68" s="78">
        <v>25</v>
      </c>
      <c r="F68" s="78">
        <v>5</v>
      </c>
      <c r="G68" s="79">
        <v>35000</v>
      </c>
      <c r="H68" s="79">
        <v>45000</v>
      </c>
      <c r="I68" s="80">
        <v>40000</v>
      </c>
      <c r="J68" s="303">
        <v>6</v>
      </c>
      <c r="K68" s="168" t="s">
        <v>26</v>
      </c>
      <c r="L68" s="101"/>
      <c r="M68" s="103"/>
      <c r="N68" s="94">
        <f>I68*J68</f>
        <v>240000</v>
      </c>
      <c r="O68" s="172"/>
      <c r="P68" s="258"/>
      <c r="Q68" s="97"/>
      <c r="R68" s="81"/>
      <c r="S68" s="81"/>
      <c r="T68" s="228">
        <f>N68*(1+K6)^T9</f>
        <v>264979.39276800002</v>
      </c>
      <c r="U68" s="81"/>
      <c r="V68" s="81"/>
      <c r="W68" s="81"/>
      <c r="X68" s="482"/>
      <c r="Y68" s="484"/>
      <c r="Z68" s="97"/>
      <c r="AA68" s="81"/>
      <c r="AB68" s="81"/>
      <c r="AC68" s="482"/>
      <c r="AD68" s="484"/>
      <c r="AE68" s="97"/>
      <c r="AF68" s="81"/>
      <c r="AG68" s="81"/>
      <c r="AH68" s="482"/>
      <c r="AI68" s="484"/>
      <c r="AJ68" s="256">
        <f t="shared" ref="AJ68:AJ84" si="12">SUM(P68:AI68)</f>
        <v>264979.39276800002</v>
      </c>
    </row>
    <row r="69" spans="1:37" ht="13.8" x14ac:dyDescent="0.25">
      <c r="A69" s="111">
        <f t="shared" si="1"/>
        <v>60</v>
      </c>
      <c r="B69" s="169" t="s">
        <v>61</v>
      </c>
      <c r="C69" s="131" t="s">
        <v>161</v>
      </c>
      <c r="D69" s="78" t="s">
        <v>89</v>
      </c>
      <c r="E69" s="78">
        <v>50</v>
      </c>
      <c r="F69" s="78">
        <v>15</v>
      </c>
      <c r="G69" s="79">
        <v>2</v>
      </c>
      <c r="H69" s="79">
        <v>8</v>
      </c>
      <c r="I69" s="80">
        <v>5</v>
      </c>
      <c r="J69" s="303">
        <f>K108</f>
        <v>179185.96</v>
      </c>
      <c r="K69" s="167">
        <f>I69*J69</f>
        <v>895929.79999999993</v>
      </c>
      <c r="L69" s="101"/>
      <c r="M69" s="103"/>
      <c r="N69" s="103"/>
      <c r="O69" s="176"/>
      <c r="P69" s="258"/>
      <c r="Q69" s="97"/>
      <c r="R69" s="81"/>
      <c r="S69" s="81"/>
      <c r="T69" s="228">
        <f>N69*(1+K7)^T10</f>
        <v>0</v>
      </c>
      <c r="U69" s="81"/>
      <c r="V69" s="81"/>
      <c r="W69" s="81"/>
      <c r="X69" s="482"/>
      <c r="Y69" s="485">
        <f t="shared" ref="Y69" si="13">T69*1.02*1.02*1.02*1.02*1.02</f>
        <v>0</v>
      </c>
      <c r="Z69" s="97"/>
      <c r="AA69" s="81"/>
      <c r="AB69" s="81"/>
      <c r="AC69" s="482"/>
      <c r="AD69" s="486">
        <f>Y69*1.02*1.02*1.02*1.02*1.02</f>
        <v>0</v>
      </c>
      <c r="AE69" s="97"/>
      <c r="AF69" s="81"/>
      <c r="AG69" s="81"/>
      <c r="AH69" s="482"/>
      <c r="AI69" s="484"/>
      <c r="AJ69" s="256">
        <f t="shared" si="12"/>
        <v>0</v>
      </c>
    </row>
    <row r="70" spans="1:37" ht="21" customHeight="1" x14ac:dyDescent="0.25">
      <c r="A70" s="111">
        <f t="shared" si="1"/>
        <v>61</v>
      </c>
      <c r="B70" s="91" t="s">
        <v>163</v>
      </c>
      <c r="C70" s="131" t="s">
        <v>286</v>
      </c>
      <c r="D70" s="78" t="s">
        <v>92</v>
      </c>
      <c r="E70" s="78">
        <v>40</v>
      </c>
      <c r="F70" s="78">
        <v>15</v>
      </c>
      <c r="G70" s="79">
        <v>35000</v>
      </c>
      <c r="H70" s="79">
        <v>45000</v>
      </c>
      <c r="I70" s="80">
        <v>42000</v>
      </c>
      <c r="J70" s="303">
        <v>6</v>
      </c>
      <c r="K70" s="125" t="s">
        <v>26</v>
      </c>
      <c r="L70" s="101"/>
      <c r="M70" s="103"/>
      <c r="N70" s="103">
        <f>I70*J70</f>
        <v>252000</v>
      </c>
      <c r="O70" s="176"/>
      <c r="P70" s="258"/>
      <c r="Q70" s="97"/>
      <c r="R70" s="81"/>
      <c r="S70" s="81"/>
      <c r="T70" s="228" t="s">
        <v>26</v>
      </c>
      <c r="U70" s="81"/>
      <c r="V70" s="81"/>
      <c r="W70" s="81"/>
      <c r="X70" s="482"/>
      <c r="Y70" s="485" t="s">
        <v>26</v>
      </c>
      <c r="Z70" s="97"/>
      <c r="AA70" s="81"/>
      <c r="AB70" s="81"/>
      <c r="AC70" s="482"/>
      <c r="AD70" s="486">
        <f>N70*(1+K6)^AD9</f>
        <v>339158.82125768054</v>
      </c>
      <c r="AE70" s="97"/>
      <c r="AF70" s="81"/>
      <c r="AG70" s="81"/>
      <c r="AH70" s="482"/>
      <c r="AI70" s="484"/>
      <c r="AJ70" s="256">
        <f t="shared" si="12"/>
        <v>339158.82125768054</v>
      </c>
    </row>
    <row r="71" spans="1:37" ht="26.4" x14ac:dyDescent="0.25">
      <c r="A71" s="111">
        <f t="shared" si="1"/>
        <v>62</v>
      </c>
      <c r="B71" s="91" t="s">
        <v>84</v>
      </c>
      <c r="C71" s="131" t="s">
        <v>113</v>
      </c>
      <c r="D71" s="78" t="s">
        <v>92</v>
      </c>
      <c r="E71" s="78">
        <v>25</v>
      </c>
      <c r="F71" s="78">
        <v>0</v>
      </c>
      <c r="G71" s="79">
        <v>6000</v>
      </c>
      <c r="H71" s="79">
        <v>10000</v>
      </c>
      <c r="I71" s="80">
        <v>8000</v>
      </c>
      <c r="J71" s="303">
        <v>6</v>
      </c>
      <c r="K71" s="125" t="s">
        <v>26</v>
      </c>
      <c r="L71" s="101"/>
      <c r="M71" s="103"/>
      <c r="N71" s="94">
        <f>I71*J71</f>
        <v>48000</v>
      </c>
      <c r="O71" s="172"/>
      <c r="P71" s="258"/>
      <c r="Q71" s="97"/>
      <c r="R71" s="81"/>
      <c r="S71" s="81"/>
      <c r="T71" s="228">
        <f>N71*(1+K6)^T9</f>
        <v>52995.8785536</v>
      </c>
      <c r="U71" s="81"/>
      <c r="V71" s="81"/>
      <c r="W71" s="81"/>
      <c r="X71" s="482"/>
      <c r="Y71" s="486" t="s">
        <v>26</v>
      </c>
      <c r="Z71" s="97"/>
      <c r="AA71" s="81"/>
      <c r="AB71" s="81"/>
      <c r="AC71" s="482"/>
      <c r="AD71" s="486" t="s">
        <v>26</v>
      </c>
      <c r="AE71" s="97"/>
      <c r="AF71" s="81"/>
      <c r="AG71" s="81"/>
      <c r="AH71" s="482"/>
      <c r="AI71" s="484"/>
      <c r="AJ71" s="256">
        <f t="shared" si="12"/>
        <v>52995.8785536</v>
      </c>
    </row>
    <row r="72" spans="1:37" ht="40.200000000000003" customHeight="1" x14ac:dyDescent="0.25">
      <c r="A72" s="111">
        <f t="shared" si="1"/>
        <v>63</v>
      </c>
      <c r="B72" s="91" t="s">
        <v>114</v>
      </c>
      <c r="C72" s="131" t="s">
        <v>152</v>
      </c>
      <c r="D72" s="78" t="s">
        <v>92</v>
      </c>
      <c r="E72" s="78" t="s">
        <v>49</v>
      </c>
      <c r="F72" s="78">
        <v>20</v>
      </c>
      <c r="G72" s="79">
        <v>4000</v>
      </c>
      <c r="H72" s="79">
        <v>6000</v>
      </c>
      <c r="I72" s="80">
        <v>5000</v>
      </c>
      <c r="J72" s="303">
        <v>6</v>
      </c>
      <c r="K72" s="125">
        <f>I72*J72</f>
        <v>30000</v>
      </c>
      <c r="L72" s="101"/>
      <c r="M72" s="103"/>
      <c r="N72" s="94">
        <f>30000*J72</f>
        <v>180000</v>
      </c>
      <c r="O72" s="172"/>
      <c r="P72" s="258"/>
      <c r="Q72" s="97"/>
      <c r="R72" s="81"/>
      <c r="S72" s="81"/>
      <c r="T72" s="228">
        <f>N72*(1+K6)^T9</f>
        <v>198734.54457600001</v>
      </c>
      <c r="U72" s="81"/>
      <c r="V72" s="81"/>
      <c r="W72" s="81"/>
      <c r="X72" s="482"/>
      <c r="Y72" s="485" t="s">
        <v>26</v>
      </c>
      <c r="Z72" s="97"/>
      <c r="AA72" s="81"/>
      <c r="AB72" s="81"/>
      <c r="AC72" s="482"/>
      <c r="AD72" s="485" t="s">
        <v>26</v>
      </c>
      <c r="AE72" s="97"/>
      <c r="AF72" s="81"/>
      <c r="AG72" s="81"/>
      <c r="AH72" s="482"/>
      <c r="AI72" s="486" t="s">
        <v>26</v>
      </c>
      <c r="AJ72" s="256">
        <f t="shared" si="12"/>
        <v>198734.54457600001</v>
      </c>
    </row>
    <row r="73" spans="1:37" ht="13.8" x14ac:dyDescent="0.25">
      <c r="A73" s="111">
        <f t="shared" ref="A73:A75" si="14">A71+1</f>
        <v>63</v>
      </c>
      <c r="B73" s="91" t="s">
        <v>62</v>
      </c>
      <c r="C73" s="131" t="s">
        <v>129</v>
      </c>
      <c r="D73" s="78" t="s">
        <v>92</v>
      </c>
      <c r="E73" s="78">
        <v>25</v>
      </c>
      <c r="F73" s="78">
        <v>0</v>
      </c>
      <c r="G73" s="79">
        <v>6000</v>
      </c>
      <c r="H73" s="79">
        <v>10000</v>
      </c>
      <c r="I73" s="80">
        <v>8000</v>
      </c>
      <c r="J73" s="303">
        <v>6</v>
      </c>
      <c r="K73" s="125">
        <f>I73*J73</f>
        <v>48000</v>
      </c>
      <c r="L73" s="101"/>
      <c r="M73" s="103"/>
      <c r="N73" s="103"/>
      <c r="O73" s="176"/>
      <c r="P73" s="258"/>
      <c r="Q73" s="97"/>
      <c r="R73" s="81"/>
      <c r="S73" s="81"/>
      <c r="T73" s="228">
        <f>N73*(1+K11)^T14</f>
        <v>0</v>
      </c>
      <c r="U73" s="81"/>
      <c r="V73" s="81"/>
      <c r="W73" s="81"/>
      <c r="X73" s="482"/>
      <c r="Y73" s="486" t="s">
        <v>26</v>
      </c>
      <c r="Z73" s="97"/>
      <c r="AA73" s="81"/>
      <c r="AB73" s="81"/>
      <c r="AC73" s="482"/>
      <c r="AD73" s="486" t="s">
        <v>26</v>
      </c>
      <c r="AE73" s="97"/>
      <c r="AF73" s="81"/>
      <c r="AG73" s="81"/>
      <c r="AH73" s="482"/>
      <c r="AI73" s="484"/>
      <c r="AJ73" s="256">
        <f t="shared" si="12"/>
        <v>0</v>
      </c>
    </row>
    <row r="74" spans="1:37" ht="13.8" x14ac:dyDescent="0.25">
      <c r="A74" s="111">
        <f t="shared" si="14"/>
        <v>64</v>
      </c>
      <c r="B74" s="169" t="s">
        <v>154</v>
      </c>
      <c r="C74" s="131" t="s">
        <v>155</v>
      </c>
      <c r="D74" s="78" t="s">
        <v>92</v>
      </c>
      <c r="E74" s="78">
        <v>40</v>
      </c>
      <c r="F74" s="78">
        <v>0</v>
      </c>
      <c r="G74" s="79">
        <v>62000</v>
      </c>
      <c r="H74" s="79">
        <v>80000</v>
      </c>
      <c r="I74" s="80">
        <v>70000</v>
      </c>
      <c r="J74" s="303">
        <v>6</v>
      </c>
      <c r="K74" s="125" t="s">
        <v>26</v>
      </c>
      <c r="L74" s="101"/>
      <c r="M74" s="103"/>
      <c r="N74" s="103">
        <f>I74*J74</f>
        <v>420000</v>
      </c>
      <c r="O74" s="176"/>
      <c r="P74" s="258"/>
      <c r="Q74" s="97"/>
      <c r="R74" s="81"/>
      <c r="S74" s="81"/>
      <c r="T74" s="228">
        <f>N74*(1+K6)^T9</f>
        <v>463713.93734400003</v>
      </c>
      <c r="U74" s="81"/>
      <c r="V74" s="81"/>
      <c r="W74" s="81"/>
      <c r="X74" s="482"/>
      <c r="Y74" s="486" t="s">
        <v>26</v>
      </c>
      <c r="Z74" s="97"/>
      <c r="AA74" s="81"/>
      <c r="AB74" s="81"/>
      <c r="AC74" s="482"/>
      <c r="AD74" s="486" t="s">
        <v>26</v>
      </c>
      <c r="AE74" s="97"/>
      <c r="AF74" s="81"/>
      <c r="AG74" s="81"/>
      <c r="AH74" s="482"/>
      <c r="AI74" s="484"/>
      <c r="AJ74" s="256">
        <f t="shared" si="12"/>
        <v>463713.93734400003</v>
      </c>
    </row>
    <row r="75" spans="1:37" ht="26.4" x14ac:dyDescent="0.25">
      <c r="A75" s="111">
        <f t="shared" si="14"/>
        <v>64</v>
      </c>
      <c r="B75" s="91" t="s">
        <v>153</v>
      </c>
      <c r="C75" s="131" t="s">
        <v>263</v>
      </c>
      <c r="D75" s="78" t="s">
        <v>92</v>
      </c>
      <c r="E75" s="78">
        <v>40</v>
      </c>
      <c r="F75" s="78">
        <v>0</v>
      </c>
      <c r="G75" s="79">
        <v>8000</v>
      </c>
      <c r="H75" s="79">
        <v>12000</v>
      </c>
      <c r="I75" s="80">
        <v>10000</v>
      </c>
      <c r="J75" s="303">
        <v>140</v>
      </c>
      <c r="K75" s="125">
        <v>1400000</v>
      </c>
      <c r="L75" s="101"/>
      <c r="M75" s="103"/>
      <c r="N75" s="94" t="s">
        <v>179</v>
      </c>
      <c r="O75" s="172"/>
      <c r="P75" s="258"/>
      <c r="Q75" s="97"/>
      <c r="R75" s="81"/>
      <c r="S75" s="81"/>
      <c r="T75" s="228" t="s">
        <v>26</v>
      </c>
      <c r="U75" s="81"/>
      <c r="V75" s="81"/>
      <c r="W75" s="81"/>
      <c r="X75" s="482"/>
      <c r="Y75" s="485" t="s">
        <v>26</v>
      </c>
      <c r="Z75" s="97"/>
      <c r="AA75" s="81"/>
      <c r="AB75" s="81"/>
      <c r="AC75" s="482"/>
      <c r="AD75" s="486" t="s">
        <v>26</v>
      </c>
      <c r="AE75" s="97"/>
      <c r="AF75" s="81"/>
      <c r="AG75" s="81"/>
      <c r="AH75" s="482"/>
      <c r="AI75" s="484"/>
      <c r="AJ75" s="256" t="s">
        <v>26</v>
      </c>
    </row>
    <row r="76" spans="1:37" ht="26.4" x14ac:dyDescent="0.25">
      <c r="A76" s="111">
        <f t="shared" si="1"/>
        <v>65</v>
      </c>
      <c r="B76" s="91" t="s">
        <v>157</v>
      </c>
      <c r="C76" s="131" t="s">
        <v>156</v>
      </c>
      <c r="D76" s="78" t="s">
        <v>92</v>
      </c>
      <c r="E76" s="78">
        <v>40</v>
      </c>
      <c r="F76" s="78">
        <v>10</v>
      </c>
      <c r="G76" s="79">
        <v>70000</v>
      </c>
      <c r="H76" s="79">
        <v>110000</v>
      </c>
      <c r="I76" s="80">
        <v>95000</v>
      </c>
      <c r="J76" s="303">
        <v>6</v>
      </c>
      <c r="K76" s="125"/>
      <c r="L76" s="101"/>
      <c r="M76" s="103"/>
      <c r="N76" s="94">
        <f>I76*J76</f>
        <v>570000</v>
      </c>
      <c r="O76" s="172"/>
      <c r="P76" s="258"/>
      <c r="Q76" s="97"/>
      <c r="R76" s="81"/>
      <c r="S76" s="81"/>
      <c r="T76" s="228" t="s">
        <v>26</v>
      </c>
      <c r="U76" s="81"/>
      <c r="V76" s="81"/>
      <c r="W76" s="81"/>
      <c r="X76" s="482"/>
      <c r="Y76" s="484">
        <f>N76*(1+K6)^Y9</f>
        <v>694826.81939701154</v>
      </c>
      <c r="Z76" s="97"/>
      <c r="AA76" s="81"/>
      <c r="AB76" s="81"/>
      <c r="AC76" s="482"/>
      <c r="AD76" s="484"/>
      <c r="AE76" s="97"/>
      <c r="AF76" s="81"/>
      <c r="AG76" s="81"/>
      <c r="AH76" s="482"/>
      <c r="AI76" s="484"/>
      <c r="AJ76" s="256">
        <f t="shared" si="12"/>
        <v>694826.81939701154</v>
      </c>
    </row>
    <row r="77" spans="1:37" ht="13.8" x14ac:dyDescent="0.25">
      <c r="A77" s="111">
        <f t="shared" si="1"/>
        <v>66</v>
      </c>
      <c r="B77" s="91" t="s">
        <v>63</v>
      </c>
      <c r="C77" s="131" t="s">
        <v>177</v>
      </c>
      <c r="D77" s="78"/>
      <c r="E77" s="78">
        <v>20</v>
      </c>
      <c r="F77" s="78">
        <v>15</v>
      </c>
      <c r="G77" s="79"/>
      <c r="H77" s="79"/>
      <c r="I77" s="80" t="s">
        <v>130</v>
      </c>
      <c r="J77" s="303"/>
      <c r="K77" s="125" t="s">
        <v>26</v>
      </c>
      <c r="L77" s="101"/>
      <c r="M77" s="103"/>
      <c r="N77" s="103"/>
      <c r="O77" s="176"/>
      <c r="P77" s="258"/>
      <c r="Q77" s="97"/>
      <c r="R77" s="81"/>
      <c r="S77" s="81"/>
      <c r="T77" s="228" t="s">
        <v>26</v>
      </c>
      <c r="U77" s="81"/>
      <c r="V77" s="81"/>
      <c r="W77" s="81"/>
      <c r="X77" s="482"/>
      <c r="Y77" s="486" t="s">
        <v>26</v>
      </c>
      <c r="Z77" s="97"/>
      <c r="AA77" s="81"/>
      <c r="AB77" s="81"/>
      <c r="AC77" s="482"/>
      <c r="AD77" s="486" t="s">
        <v>26</v>
      </c>
      <c r="AE77" s="97"/>
      <c r="AF77" s="81"/>
      <c r="AG77" s="81"/>
      <c r="AH77" s="482"/>
      <c r="AI77" s="484"/>
      <c r="AJ77" s="256" t="s">
        <v>26</v>
      </c>
    </row>
    <row r="78" spans="1:37" ht="26.4" x14ac:dyDescent="0.25">
      <c r="A78" s="111">
        <f t="shared" si="1"/>
        <v>67</v>
      </c>
      <c r="B78" s="91" t="s">
        <v>64</v>
      </c>
      <c r="C78" s="131" t="s">
        <v>178</v>
      </c>
      <c r="D78" s="78"/>
      <c r="E78" s="78">
        <v>10</v>
      </c>
      <c r="F78" s="78">
        <v>5</v>
      </c>
      <c r="G78" s="79"/>
      <c r="H78" s="79"/>
      <c r="I78" s="80" t="s">
        <v>130</v>
      </c>
      <c r="J78" s="303" t="s">
        <v>26</v>
      </c>
      <c r="K78" s="125" t="s">
        <v>26</v>
      </c>
      <c r="L78" s="101"/>
      <c r="M78" s="103"/>
      <c r="N78" s="94" t="s">
        <v>26</v>
      </c>
      <c r="O78" s="172"/>
      <c r="P78" s="258"/>
      <c r="Q78" s="97"/>
      <c r="R78" s="81"/>
      <c r="S78" s="81"/>
      <c r="T78" s="228" t="s">
        <v>26</v>
      </c>
      <c r="U78" s="81"/>
      <c r="V78" s="81"/>
      <c r="W78" s="81"/>
      <c r="X78" s="482"/>
      <c r="Y78" s="484"/>
      <c r="Z78" s="97"/>
      <c r="AA78" s="81"/>
      <c r="AB78" s="81"/>
      <c r="AC78" s="482"/>
      <c r="AD78" s="484"/>
      <c r="AE78" s="97"/>
      <c r="AF78" s="81"/>
      <c r="AG78" s="81"/>
      <c r="AH78" s="482"/>
      <c r="AI78" s="484"/>
      <c r="AJ78" s="256" t="s">
        <v>26</v>
      </c>
      <c r="AK78" s="542"/>
    </row>
    <row r="79" spans="1:37" ht="13.8" x14ac:dyDescent="0.25">
      <c r="A79" s="111">
        <f t="shared" si="1"/>
        <v>68</v>
      </c>
      <c r="B79" s="91" t="s">
        <v>88</v>
      </c>
      <c r="C79" s="131" t="s">
        <v>159</v>
      </c>
      <c r="D79" s="78" t="s">
        <v>92</v>
      </c>
      <c r="E79" s="78">
        <v>50</v>
      </c>
      <c r="F79" s="78">
        <v>0</v>
      </c>
      <c r="G79" s="79">
        <v>400000</v>
      </c>
      <c r="H79" s="79">
        <v>600000</v>
      </c>
      <c r="I79" s="80">
        <v>500000</v>
      </c>
      <c r="J79" s="303">
        <v>6</v>
      </c>
      <c r="K79" s="125">
        <f t="shared" ref="K79:K81" si="15">I79*J79</f>
        <v>3000000</v>
      </c>
      <c r="L79" s="101"/>
      <c r="M79" s="103"/>
      <c r="N79" s="94" t="s">
        <v>26</v>
      </c>
      <c r="O79" s="176"/>
      <c r="P79" s="258"/>
      <c r="Q79" s="97"/>
      <c r="R79" s="81"/>
      <c r="S79" s="81"/>
      <c r="T79" s="228" t="s">
        <v>26</v>
      </c>
      <c r="U79" s="81"/>
      <c r="V79" s="81"/>
      <c r="W79" s="81"/>
      <c r="X79" s="482"/>
      <c r="Y79" s="484"/>
      <c r="Z79" s="97"/>
      <c r="AA79" s="81"/>
      <c r="AB79" s="81"/>
      <c r="AC79" s="482"/>
      <c r="AD79" s="484"/>
      <c r="AE79" s="97"/>
      <c r="AF79" s="81"/>
      <c r="AG79" s="81"/>
      <c r="AH79" s="482"/>
      <c r="AI79" s="484"/>
      <c r="AJ79" s="256" t="s">
        <v>26</v>
      </c>
    </row>
    <row r="80" spans="1:37" ht="39.6" x14ac:dyDescent="0.25">
      <c r="A80" s="111">
        <f t="shared" ref="A80" si="16">A79+1</f>
        <v>69</v>
      </c>
      <c r="B80" s="169" t="s">
        <v>146</v>
      </c>
      <c r="C80" s="131" t="s">
        <v>87</v>
      </c>
      <c r="D80" s="78" t="s">
        <v>92</v>
      </c>
      <c r="E80" s="78">
        <v>25</v>
      </c>
      <c r="F80" s="78">
        <v>0</v>
      </c>
      <c r="G80" s="79">
        <v>900000</v>
      </c>
      <c r="H80" s="79">
        <v>1500000</v>
      </c>
      <c r="I80" s="80">
        <v>1100000</v>
      </c>
      <c r="J80" s="303">
        <v>4</v>
      </c>
      <c r="K80" s="125" t="s">
        <v>26</v>
      </c>
      <c r="L80" s="101"/>
      <c r="M80" s="94">
        <f>I80*J80</f>
        <v>4400000</v>
      </c>
      <c r="N80" s="103"/>
      <c r="O80" s="176"/>
      <c r="P80" s="258"/>
      <c r="Q80" s="97"/>
      <c r="R80" s="81"/>
      <c r="S80" s="81"/>
      <c r="T80" s="228" t="s">
        <v>26</v>
      </c>
      <c r="U80" s="81"/>
      <c r="V80" s="81"/>
      <c r="W80" s="81"/>
      <c r="X80" s="482"/>
      <c r="Y80" s="484"/>
      <c r="Z80" s="97"/>
      <c r="AA80" s="81"/>
      <c r="AB80" s="81"/>
      <c r="AC80" s="482"/>
      <c r="AD80" s="484"/>
      <c r="AE80" s="97"/>
      <c r="AF80" s="81"/>
      <c r="AG80" s="81"/>
      <c r="AH80" s="482"/>
      <c r="AI80" s="484"/>
      <c r="AJ80" s="256" t="s">
        <v>26</v>
      </c>
    </row>
    <row r="81" spans="1:37" ht="13.8" x14ac:dyDescent="0.25">
      <c r="A81" s="111">
        <f t="shared" ref="A81:A90" si="17">A80+1</f>
        <v>70</v>
      </c>
      <c r="B81" s="91" t="s">
        <v>147</v>
      </c>
      <c r="C81" s="131" t="s">
        <v>150</v>
      </c>
      <c r="D81" s="78" t="s">
        <v>92</v>
      </c>
      <c r="E81" s="78">
        <v>30</v>
      </c>
      <c r="F81" s="78">
        <v>0</v>
      </c>
      <c r="G81" s="79">
        <v>50000</v>
      </c>
      <c r="H81" s="79">
        <v>65000</v>
      </c>
      <c r="I81" s="80">
        <v>55000</v>
      </c>
      <c r="J81" s="303">
        <v>6</v>
      </c>
      <c r="K81" s="125">
        <f t="shared" si="15"/>
        <v>330000</v>
      </c>
      <c r="L81" s="101"/>
      <c r="M81" s="94" t="s">
        <v>26</v>
      </c>
      <c r="N81" s="103"/>
      <c r="O81" s="176"/>
      <c r="P81" s="258"/>
      <c r="Q81" s="97"/>
      <c r="R81" s="81"/>
      <c r="S81" s="81"/>
      <c r="T81" s="228">
        <f>N81*(1+K13)^T16</f>
        <v>0</v>
      </c>
      <c r="U81" s="81"/>
      <c r="V81" s="81"/>
      <c r="W81" s="81"/>
      <c r="X81" s="482"/>
      <c r="Y81" s="484"/>
      <c r="Z81" s="97"/>
      <c r="AA81" s="81"/>
      <c r="AB81" s="81"/>
      <c r="AC81" s="482"/>
      <c r="AD81" s="484"/>
      <c r="AE81" s="97"/>
      <c r="AF81" s="81"/>
      <c r="AG81" s="81"/>
      <c r="AH81" s="482"/>
      <c r="AI81" s="484"/>
      <c r="AJ81" s="256" t="s">
        <v>26</v>
      </c>
    </row>
    <row r="82" spans="1:37" ht="9.6" customHeight="1" thickBot="1" x14ac:dyDescent="0.3">
      <c r="A82" s="111">
        <f t="shared" si="17"/>
        <v>71</v>
      </c>
      <c r="B82" s="169"/>
      <c r="C82" s="131"/>
      <c r="D82" s="78"/>
      <c r="E82" s="78"/>
      <c r="F82" s="78"/>
      <c r="G82" s="79"/>
      <c r="H82" s="79"/>
      <c r="I82" s="80"/>
      <c r="J82" s="303"/>
      <c r="K82" s="147"/>
      <c r="L82" s="148"/>
      <c r="M82" s="149"/>
      <c r="N82" s="149"/>
      <c r="O82" s="176"/>
      <c r="P82" s="258"/>
      <c r="Q82" s="81"/>
      <c r="R82" s="81"/>
      <c r="S82" s="81"/>
      <c r="T82" s="423">
        <f t="shared" ref="T82" si="18">N82*1.02*1.02*1.02*1.02</f>
        <v>0</v>
      </c>
      <c r="U82" s="81"/>
      <c r="V82" s="81"/>
      <c r="W82" s="81"/>
      <c r="X82" s="482"/>
      <c r="Y82" s="487"/>
      <c r="Z82" s="97"/>
      <c r="AA82" s="81"/>
      <c r="AB82" s="81"/>
      <c r="AC82" s="482"/>
      <c r="AD82" s="487"/>
      <c r="AE82" s="97"/>
      <c r="AF82" s="81"/>
      <c r="AG82" s="81"/>
      <c r="AH82" s="482"/>
      <c r="AI82" s="487"/>
      <c r="AJ82" s="256" t="s">
        <v>26</v>
      </c>
    </row>
    <row r="83" spans="1:37" ht="31.2" customHeight="1" thickTop="1" thickBot="1" x14ac:dyDescent="0.35">
      <c r="A83" s="111">
        <f t="shared" si="17"/>
        <v>72</v>
      </c>
      <c r="B83" s="465"/>
      <c r="C83" s="151" t="s">
        <v>289</v>
      </c>
      <c r="D83" s="152"/>
      <c r="E83" s="152"/>
      <c r="F83" s="152"/>
      <c r="G83" s="153"/>
      <c r="H83" s="153"/>
      <c r="I83" s="154"/>
      <c r="J83" s="607"/>
      <c r="K83" s="279">
        <f>SUM(K67:K82)</f>
        <v>6213929.7999999998</v>
      </c>
      <c r="L83" s="280">
        <f>SUM(L67:L82)</f>
        <v>0</v>
      </c>
      <c r="M83" s="281">
        <f>SUM(M67:M82)</f>
        <v>4400000</v>
      </c>
      <c r="N83" s="466">
        <f>SUM(N67:N82)</f>
        <v>1710000</v>
      </c>
      <c r="O83" s="174"/>
      <c r="P83" s="640" t="s">
        <v>289</v>
      </c>
      <c r="Q83" s="641"/>
      <c r="R83" s="641"/>
      <c r="S83" s="642"/>
      <c r="T83" s="410">
        <f>SUM(T67:T82)</f>
        <v>980423.7532416</v>
      </c>
      <c r="U83" s="422" t="s">
        <v>26</v>
      </c>
      <c r="V83" s="411" t="s">
        <v>26</v>
      </c>
      <c r="W83" s="411" t="s">
        <v>26</v>
      </c>
      <c r="X83" s="421" t="s">
        <v>26</v>
      </c>
      <c r="Y83" s="410">
        <f>SUM(Y67:Y82)</f>
        <v>694826.81939701154</v>
      </c>
      <c r="Z83" s="422" t="s">
        <v>26</v>
      </c>
      <c r="AA83" s="411" t="s">
        <v>26</v>
      </c>
      <c r="AB83" s="411" t="s">
        <v>26</v>
      </c>
      <c r="AC83" s="421" t="s">
        <v>26</v>
      </c>
      <c r="AD83" s="410">
        <f>SUM(AD67:AD82)</f>
        <v>339158.82125768054</v>
      </c>
      <c r="AE83" s="410" t="s">
        <v>26</v>
      </c>
      <c r="AF83" s="410" t="s">
        <v>26</v>
      </c>
      <c r="AG83" s="410" t="s">
        <v>26</v>
      </c>
      <c r="AH83" s="410" t="s">
        <v>26</v>
      </c>
      <c r="AI83" s="410">
        <f>SUM(AI67:AI82)</f>
        <v>0</v>
      </c>
      <c r="AJ83" s="474">
        <f t="shared" si="12"/>
        <v>2014409.393896292</v>
      </c>
      <c r="AK83" s="414"/>
    </row>
    <row r="84" spans="1:37" ht="22.2" customHeight="1" thickBot="1" x14ac:dyDescent="0.3">
      <c r="A84" s="111">
        <f t="shared" si="17"/>
        <v>73</v>
      </c>
      <c r="B84" s="180" t="s">
        <v>26</v>
      </c>
      <c r="C84" s="83" t="s">
        <v>26</v>
      </c>
      <c r="D84" s="84"/>
      <c r="E84" s="85"/>
      <c r="F84" s="85"/>
      <c r="G84" s="85"/>
      <c r="H84" s="85"/>
      <c r="I84" s="85"/>
      <c r="J84" s="86"/>
      <c r="K84" s="84"/>
      <c r="L84" s="84"/>
      <c r="M84" s="84"/>
      <c r="N84" s="84"/>
      <c r="O84" s="84"/>
      <c r="P84" s="84"/>
      <c r="Q84" s="84"/>
      <c r="R84" s="84"/>
      <c r="S84" s="84"/>
      <c r="T84" s="242"/>
      <c r="U84" s="242"/>
      <c r="V84" s="242"/>
      <c r="W84" s="242"/>
      <c r="X84" s="242"/>
      <c r="Y84" s="242"/>
      <c r="Z84" s="242"/>
      <c r="AA84" s="242"/>
      <c r="AB84" s="242"/>
      <c r="AC84" s="242"/>
      <c r="AD84" s="242"/>
      <c r="AE84" s="242"/>
      <c r="AF84" s="242"/>
      <c r="AG84" s="242"/>
      <c r="AH84" s="242"/>
      <c r="AI84" s="242"/>
      <c r="AJ84" s="415">
        <f t="shared" si="12"/>
        <v>0</v>
      </c>
      <c r="AK84" s="414"/>
    </row>
    <row r="85" spans="1:37" ht="46.8" customHeight="1" thickBot="1" x14ac:dyDescent="0.35">
      <c r="A85" s="111">
        <f t="shared" si="17"/>
        <v>74</v>
      </c>
      <c r="B85" s="82"/>
      <c r="C85" s="83"/>
      <c r="D85" s="84"/>
      <c r="E85" s="85"/>
      <c r="F85" s="85"/>
      <c r="G85" s="85"/>
      <c r="H85" s="85"/>
      <c r="I85" s="621" t="s">
        <v>251</v>
      </c>
      <c r="J85" s="622"/>
      <c r="K85" s="239">
        <f>K37+K64+K83</f>
        <v>37719429.799999997</v>
      </c>
      <c r="L85" s="240">
        <f>L37+L64+L83</f>
        <v>9335020.9900000002</v>
      </c>
      <c r="M85" s="240">
        <f>M37+M64+M83</f>
        <v>4891000</v>
      </c>
      <c r="N85" s="241">
        <f>N37+N64+N83</f>
        <v>2357000</v>
      </c>
      <c r="O85" s="84"/>
      <c r="P85" s="647" t="s">
        <v>292</v>
      </c>
      <c r="Q85" s="648"/>
      <c r="R85" s="648"/>
      <c r="S85" s="649"/>
      <c r="T85" s="464">
        <f>SUM(T37+T64+T83)</f>
        <v>1281837.8125152001</v>
      </c>
      <c r="U85" s="467"/>
      <c r="V85" s="467"/>
      <c r="W85" s="467"/>
      <c r="X85" s="467"/>
      <c r="Y85" s="464">
        <f>SUM(Y37+Y64+Y83)</f>
        <v>13784210.472211482</v>
      </c>
      <c r="Z85" s="467"/>
      <c r="AA85" s="467"/>
      <c r="AB85" s="467"/>
      <c r="AC85" s="467"/>
      <c r="AD85" s="464">
        <f>SUM(AD37+AD64+AD83)</f>
        <v>2918919.2521573715</v>
      </c>
      <c r="AE85" s="467"/>
      <c r="AF85" s="467"/>
      <c r="AG85" s="467"/>
      <c r="AH85" s="467"/>
      <c r="AI85" s="464">
        <f>SUM(AI37+AI64+AI83)</f>
        <v>23313443.185671031</v>
      </c>
      <c r="AJ85" s="242"/>
      <c r="AK85" s="414"/>
    </row>
    <row r="86" spans="1:37" ht="15.75" customHeight="1" x14ac:dyDescent="0.25">
      <c r="A86" s="111">
        <f t="shared" si="17"/>
        <v>75</v>
      </c>
      <c r="B86" s="206" t="s">
        <v>168</v>
      </c>
      <c r="C86" s="199"/>
      <c r="D86" s="84"/>
      <c r="E86" s="85"/>
      <c r="F86" s="85"/>
      <c r="G86" s="85"/>
      <c r="H86" s="85"/>
      <c r="I86" s="85"/>
      <c r="J86" s="86"/>
      <c r="K86" s="180"/>
      <c r="L86" s="180" t="s">
        <v>247</v>
      </c>
      <c r="M86" s="383">
        <f>K85+L85+M85</f>
        <v>51945450.789999999</v>
      </c>
      <c r="N86" s="180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</row>
    <row r="87" spans="1:37" ht="15.75" customHeight="1" thickBot="1" x14ac:dyDescent="0.3">
      <c r="A87" s="111">
        <f t="shared" si="17"/>
        <v>76</v>
      </c>
      <c r="B87" s="200" t="s">
        <v>169</v>
      </c>
      <c r="C87" s="201" t="s">
        <v>171</v>
      </c>
      <c r="D87" s="84"/>
      <c r="E87" s="85"/>
      <c r="F87" s="85"/>
      <c r="G87" s="85"/>
      <c r="H87" s="85"/>
      <c r="I87" s="85"/>
      <c r="J87" s="86"/>
      <c r="K87" s="180"/>
      <c r="L87" s="180"/>
      <c r="M87" s="180"/>
      <c r="N87" s="180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</row>
    <row r="88" spans="1:37" ht="15.75" customHeight="1" x14ac:dyDescent="0.25">
      <c r="A88" s="111">
        <f t="shared" si="17"/>
        <v>77</v>
      </c>
      <c r="B88" s="202" t="s">
        <v>170</v>
      </c>
      <c r="C88" s="203" t="s">
        <v>172</v>
      </c>
      <c r="D88" s="76"/>
      <c r="E88" s="77"/>
      <c r="F88" s="77"/>
      <c r="G88" s="651" t="s">
        <v>28</v>
      </c>
      <c r="H88" s="652"/>
      <c r="I88" s="259">
        <v>0.15</v>
      </c>
      <c r="J88" s="260"/>
      <c r="K88" s="261">
        <f>I88*K85</f>
        <v>5657914.4699999997</v>
      </c>
      <c r="L88" s="261">
        <f>I88*L85</f>
        <v>1400253.1484999999</v>
      </c>
      <c r="M88" s="261">
        <f>I88*M85</f>
        <v>733650</v>
      </c>
      <c r="N88" s="262">
        <f>I88*N85</f>
        <v>353550</v>
      </c>
      <c r="O88" s="69"/>
      <c r="P88" s="76"/>
      <c r="Q88" s="76"/>
      <c r="R88" s="76"/>
      <c r="S88" s="76"/>
      <c r="T88" s="243">
        <f>T85*I88</f>
        <v>192275.67187728002</v>
      </c>
      <c r="U88" s="76"/>
      <c r="V88" s="76"/>
      <c r="W88" s="76"/>
      <c r="X88" s="76"/>
      <c r="Y88" s="243">
        <f>Y85*I88</f>
        <v>2067631.5708317221</v>
      </c>
      <c r="Z88" s="76"/>
      <c r="AA88" s="76"/>
      <c r="AB88" s="76"/>
      <c r="AC88" s="76"/>
      <c r="AD88" s="243">
        <f>AD85*I88</f>
        <v>437837.88782360574</v>
      </c>
      <c r="AE88" s="76"/>
      <c r="AF88" s="76"/>
      <c r="AG88" s="76"/>
      <c r="AH88" s="76"/>
      <c r="AI88" s="243">
        <f>AI85*I88</f>
        <v>3497016.4778506546</v>
      </c>
      <c r="AJ88" s="76"/>
    </row>
    <row r="89" spans="1:37" ht="13.2" customHeight="1" x14ac:dyDescent="0.25">
      <c r="A89" s="111">
        <f t="shared" si="17"/>
        <v>78</v>
      </c>
      <c r="B89" s="202" t="s">
        <v>252</v>
      </c>
      <c r="C89" s="203" t="s">
        <v>253</v>
      </c>
      <c r="D89" s="25"/>
      <c r="E89" s="26"/>
      <c r="F89" s="26"/>
      <c r="G89" s="653" t="s">
        <v>29</v>
      </c>
      <c r="H89" s="654"/>
      <c r="I89" s="178">
        <v>0.04</v>
      </c>
      <c r="J89" s="177"/>
      <c r="K89" s="181">
        <f>I89*K85</f>
        <v>1508777.1919999998</v>
      </c>
      <c r="L89" s="181">
        <f>I89*L85</f>
        <v>373400.83960000001</v>
      </c>
      <c r="M89" s="181">
        <f>I89*M85</f>
        <v>195640</v>
      </c>
      <c r="N89" s="263">
        <f>I89*N85</f>
        <v>94280</v>
      </c>
      <c r="O89" s="69"/>
      <c r="P89" s="87"/>
      <c r="Q89" s="27"/>
      <c r="R89" s="27"/>
      <c r="S89" s="87"/>
      <c r="T89" s="244">
        <f>T85*I89</f>
        <v>51273.512500608005</v>
      </c>
      <c r="U89" s="87"/>
      <c r="V89" s="87"/>
      <c r="W89" s="87"/>
      <c r="X89" s="87"/>
      <c r="Y89" s="246">
        <f>Y85*I89</f>
        <v>551368.41888845933</v>
      </c>
      <c r="Z89" s="87"/>
      <c r="AA89" s="87"/>
      <c r="AB89" s="87"/>
      <c r="AC89" s="87"/>
      <c r="AD89" s="244">
        <f>AD85*I89</f>
        <v>116756.77008629485</v>
      </c>
      <c r="AE89" s="27"/>
      <c r="AF89" s="27"/>
      <c r="AG89" s="27"/>
      <c r="AH89" s="27"/>
      <c r="AI89" s="244">
        <f>AI85*I89</f>
        <v>932537.72742684127</v>
      </c>
      <c r="AJ89" s="27"/>
    </row>
    <row r="90" spans="1:37" ht="15" customHeight="1" thickBot="1" x14ac:dyDescent="0.3">
      <c r="A90" s="111">
        <f t="shared" si="17"/>
        <v>79</v>
      </c>
      <c r="B90" s="204"/>
      <c r="C90" s="205"/>
      <c r="D90" s="25"/>
      <c r="E90" s="26"/>
      <c r="F90" s="26"/>
      <c r="G90" s="653" t="s">
        <v>30</v>
      </c>
      <c r="H90" s="654"/>
      <c r="I90" s="178">
        <v>0.15</v>
      </c>
      <c r="J90" s="177"/>
      <c r="K90" s="470">
        <f>I90*K85</f>
        <v>5657914.4699999997</v>
      </c>
      <c r="L90" s="470">
        <f>I90*L85</f>
        <v>1400253.1484999999</v>
      </c>
      <c r="M90" s="470">
        <f>I90*M85</f>
        <v>733650</v>
      </c>
      <c r="N90" s="471">
        <f>I90*N85</f>
        <v>353550</v>
      </c>
      <c r="O90" s="69"/>
      <c r="P90" s="87"/>
      <c r="Q90" s="27"/>
      <c r="R90" s="27"/>
      <c r="S90" s="87"/>
      <c r="T90" s="473">
        <f>T85*I90</f>
        <v>192275.67187728002</v>
      </c>
      <c r="U90" s="87"/>
      <c r="V90" s="87"/>
      <c r="W90" s="87"/>
      <c r="X90" s="87"/>
      <c r="Y90" s="473">
        <f>Y85*I90</f>
        <v>2067631.5708317221</v>
      </c>
      <c r="Z90" s="87"/>
      <c r="AA90" s="87"/>
      <c r="AB90" s="87"/>
      <c r="AC90" s="87"/>
      <c r="AD90" s="473">
        <f>AD85*I90</f>
        <v>437837.88782360574</v>
      </c>
      <c r="AE90" s="87" t="s">
        <v>26</v>
      </c>
      <c r="AF90" s="87"/>
      <c r="AG90" s="87"/>
      <c r="AH90" s="87"/>
      <c r="AI90" s="473">
        <f>AI85*I90</f>
        <v>3497016.4778506546</v>
      </c>
      <c r="AJ90" s="27"/>
    </row>
    <row r="91" spans="1:37" ht="13.8" thickBot="1" x14ac:dyDescent="0.3">
      <c r="A91" s="518" t="s">
        <v>26</v>
      </c>
      <c r="D91" s="25"/>
      <c r="E91" s="26"/>
      <c r="F91" s="26"/>
      <c r="G91" s="653" t="s">
        <v>27</v>
      </c>
      <c r="H91" s="654"/>
      <c r="I91" s="179"/>
      <c r="J91" s="177"/>
      <c r="K91" s="496">
        <f>SUM(K88:K90)</f>
        <v>12824606.131999999</v>
      </c>
      <c r="L91" s="496">
        <f t="shared" ref="L91:N91" si="19">SUM(L88:L90)</f>
        <v>3173907.1365999999</v>
      </c>
      <c r="M91" s="496">
        <f t="shared" si="19"/>
        <v>1662940</v>
      </c>
      <c r="N91" s="497">
        <f t="shared" si="19"/>
        <v>801380</v>
      </c>
      <c r="O91" s="69"/>
      <c r="P91" s="87"/>
      <c r="Q91" s="87"/>
      <c r="R91" s="87"/>
      <c r="S91" s="87"/>
      <c r="T91" s="472">
        <f>SUM(T88:T90)</f>
        <v>435824.8562551681</v>
      </c>
      <c r="U91" s="245" t="s">
        <v>26</v>
      </c>
      <c r="V91" s="245" t="s">
        <v>26</v>
      </c>
      <c r="W91" s="245" t="s">
        <v>26</v>
      </c>
      <c r="X91" s="245" t="s">
        <v>26</v>
      </c>
      <c r="Y91" s="472">
        <f t="shared" ref="Y91:AI91" si="20">SUM(Y88:Y90)</f>
        <v>4686631.5605519041</v>
      </c>
      <c r="Z91" s="245" t="s">
        <v>26</v>
      </c>
      <c r="AA91" s="245" t="s">
        <v>26</v>
      </c>
      <c r="AB91" s="245" t="s">
        <v>26</v>
      </c>
      <c r="AC91" s="245" t="s">
        <v>26</v>
      </c>
      <c r="AD91" s="472">
        <f t="shared" si="20"/>
        <v>992432.54573350633</v>
      </c>
      <c r="AE91" s="245" t="s">
        <v>26</v>
      </c>
      <c r="AF91" s="245" t="s">
        <v>26</v>
      </c>
      <c r="AG91" s="245" t="s">
        <v>26</v>
      </c>
      <c r="AH91" s="245" t="s">
        <v>26</v>
      </c>
      <c r="AI91" s="472">
        <f t="shared" si="20"/>
        <v>7926570.6831281502</v>
      </c>
      <c r="AJ91" s="27"/>
    </row>
    <row r="92" spans="1:37" ht="32.4" customHeight="1" thickBot="1" x14ac:dyDescent="0.35">
      <c r="A92" s="518" t="s">
        <v>26</v>
      </c>
      <c r="D92" s="6"/>
      <c r="E92" s="28"/>
      <c r="F92" s="28"/>
      <c r="G92" s="655" t="s">
        <v>76</v>
      </c>
      <c r="H92" s="656"/>
      <c r="I92" s="657"/>
      <c r="J92" s="186"/>
      <c r="K92" s="282">
        <f>K85+K91</f>
        <v>50544035.931999996</v>
      </c>
      <c r="L92" s="282">
        <f>L85+L91</f>
        <v>12508928.126600001</v>
      </c>
      <c r="M92" s="282">
        <f>M85+M91</f>
        <v>6553940</v>
      </c>
      <c r="N92" s="498">
        <f>N85+N91</f>
        <v>3158380</v>
      </c>
      <c r="O92" s="6"/>
      <c r="P92" s="614" t="s">
        <v>293</v>
      </c>
      <c r="Q92" s="615"/>
      <c r="R92" s="615"/>
      <c r="S92" s="616"/>
      <c r="T92" s="468">
        <f>T85+T91</f>
        <v>1717662.6687703682</v>
      </c>
      <c r="U92" s="469" t="s">
        <v>26</v>
      </c>
      <c r="V92" s="469" t="s">
        <v>26</v>
      </c>
      <c r="W92" s="469" t="s">
        <v>26</v>
      </c>
      <c r="X92" s="469" t="s">
        <v>26</v>
      </c>
      <c r="Y92" s="468">
        <f t="shared" ref="Y92:AI92" si="21">Y85+Y91</f>
        <v>18470842.032763384</v>
      </c>
      <c r="Z92" s="469" t="s">
        <v>26</v>
      </c>
      <c r="AA92" s="469" t="s">
        <v>26</v>
      </c>
      <c r="AB92" s="469" t="s">
        <v>26</v>
      </c>
      <c r="AC92" s="469" t="s">
        <v>26</v>
      </c>
      <c r="AD92" s="468">
        <f t="shared" si="21"/>
        <v>3911351.7978908778</v>
      </c>
      <c r="AE92" s="469" t="s">
        <v>26</v>
      </c>
      <c r="AF92" s="469" t="s">
        <v>26</v>
      </c>
      <c r="AG92" s="469" t="s">
        <v>26</v>
      </c>
      <c r="AH92" s="469" t="s">
        <v>26</v>
      </c>
      <c r="AI92" s="468">
        <f t="shared" si="21"/>
        <v>31240013.86879918</v>
      </c>
      <c r="AJ92" s="697" t="s">
        <v>26</v>
      </c>
    </row>
    <row r="93" spans="1:37" ht="3.6" customHeight="1" x14ac:dyDescent="0.3">
      <c r="A93" s="110"/>
      <c r="D93" s="6"/>
      <c r="E93" s="28"/>
      <c r="F93" s="28"/>
      <c r="G93" s="264"/>
      <c r="H93" s="108"/>
      <c r="I93" s="156"/>
      <c r="J93" s="177"/>
      <c r="K93" s="183"/>
      <c r="L93" s="183"/>
      <c r="M93" s="183"/>
      <c r="N93" s="265"/>
      <c r="O93" s="6"/>
      <c r="P93" s="29"/>
      <c r="Q93" s="30"/>
      <c r="R93" s="31"/>
      <c r="S93" s="88"/>
      <c r="T93" s="89"/>
      <c r="U93" s="88"/>
      <c r="V93" s="88"/>
      <c r="W93" s="88"/>
      <c r="X93" s="88"/>
      <c r="Y93" s="89"/>
      <c r="Z93" s="88"/>
      <c r="AA93" s="88"/>
      <c r="AB93" s="88"/>
      <c r="AC93" s="88"/>
      <c r="AD93" s="89"/>
      <c r="AE93" s="88"/>
      <c r="AF93" s="88"/>
      <c r="AG93" s="88"/>
      <c r="AH93" s="88"/>
      <c r="AI93" s="89"/>
      <c r="AJ93" s="31"/>
    </row>
    <row r="94" spans="1:37" ht="20.55" customHeight="1" x14ac:dyDescent="0.3">
      <c r="A94" s="110"/>
      <c r="D94" s="6"/>
      <c r="E94" s="28"/>
      <c r="F94" s="28"/>
      <c r="G94" s="182"/>
      <c r="H94" s="650"/>
      <c r="I94" s="618"/>
      <c r="J94" s="177"/>
      <c r="K94" s="183"/>
      <c r="L94" s="183"/>
      <c r="M94" s="183"/>
      <c r="N94" s="183"/>
      <c r="O94" s="6"/>
      <c r="P94" s="29"/>
      <c r="Q94" s="30"/>
      <c r="R94" s="31"/>
      <c r="S94" s="88"/>
      <c r="T94" s="89" t="s">
        <v>182</v>
      </c>
      <c r="U94" s="88"/>
      <c r="V94" s="88"/>
      <c r="W94" s="88"/>
      <c r="X94" s="88"/>
      <c r="Y94" s="89" t="s">
        <v>183</v>
      </c>
      <c r="Z94" s="88"/>
      <c r="AA94" s="88"/>
      <c r="AB94" s="88"/>
      <c r="AC94" s="88"/>
      <c r="AD94" s="89" t="s">
        <v>184</v>
      </c>
      <c r="AE94" s="88"/>
      <c r="AF94" s="88"/>
      <c r="AG94" s="88"/>
      <c r="AH94" s="88"/>
      <c r="AI94" s="89" t="s">
        <v>185</v>
      </c>
      <c r="AJ94" s="31"/>
    </row>
    <row r="95" spans="1:37" ht="16.2" customHeight="1" x14ac:dyDescent="0.3">
      <c r="A95" s="110"/>
      <c r="D95" s="6"/>
      <c r="E95" s="28"/>
      <c r="F95" s="28"/>
      <c r="G95" s="182"/>
      <c r="H95" s="650"/>
      <c r="I95" s="618"/>
      <c r="J95" s="177"/>
      <c r="K95" s="596"/>
      <c r="L95" s="183"/>
      <c r="M95" s="183"/>
      <c r="N95" s="183"/>
      <c r="O95" s="6"/>
      <c r="P95" s="29"/>
      <c r="Q95" s="30"/>
      <c r="R95" s="31"/>
      <c r="S95" s="88"/>
      <c r="T95" s="89"/>
      <c r="U95" s="88"/>
      <c r="V95" s="31"/>
      <c r="W95" s="31"/>
      <c r="X95" s="31"/>
      <c r="Y95" s="89"/>
      <c r="Z95" s="31"/>
      <c r="AA95" s="31"/>
      <c r="AB95" s="31"/>
      <c r="AC95" s="31"/>
      <c r="AD95" s="89"/>
      <c r="AE95" s="31"/>
      <c r="AF95" s="31"/>
      <c r="AG95" s="31"/>
      <c r="AH95" s="31"/>
      <c r="AI95" s="89"/>
      <c r="AJ95" s="31"/>
    </row>
    <row r="96" spans="1:37" ht="10.8" customHeight="1" x14ac:dyDescent="0.3">
      <c r="A96" s="110"/>
      <c r="D96" s="6"/>
      <c r="E96" s="28"/>
      <c r="F96" s="28"/>
      <c r="G96" s="182"/>
      <c r="H96" s="108"/>
      <c r="I96" s="156"/>
      <c r="J96" s="177"/>
      <c r="K96" s="183"/>
      <c r="L96" s="183"/>
      <c r="M96" s="183"/>
      <c r="N96" s="183"/>
      <c r="O96" s="6"/>
      <c r="P96" s="29"/>
      <c r="Q96" s="30"/>
      <c r="R96" s="31"/>
      <c r="S96" s="88"/>
      <c r="T96" s="89"/>
      <c r="U96" s="88"/>
      <c r="V96" s="31"/>
      <c r="W96" s="31"/>
      <c r="X96" s="31"/>
      <c r="Y96" s="89"/>
      <c r="Z96" s="31"/>
      <c r="AA96" s="31"/>
      <c r="AB96" s="31"/>
      <c r="AC96" s="31"/>
      <c r="AD96" s="89"/>
      <c r="AE96" s="31"/>
      <c r="AF96" s="31"/>
      <c r="AG96" s="31"/>
      <c r="AH96" s="31"/>
      <c r="AI96" s="89"/>
      <c r="AJ96" s="31"/>
    </row>
    <row r="97" spans="1:36" ht="15.6" customHeight="1" x14ac:dyDescent="0.3">
      <c r="A97" s="110"/>
      <c r="D97" s="6"/>
      <c r="E97" s="28"/>
      <c r="F97" s="28"/>
      <c r="G97" s="182"/>
      <c r="H97" s="108"/>
      <c r="I97" s="156"/>
      <c r="J97" s="177"/>
      <c r="K97" s="595"/>
      <c r="L97" s="595"/>
      <c r="M97" s="595"/>
      <c r="N97" s="183"/>
      <c r="O97" s="6"/>
      <c r="P97" s="29"/>
      <c r="Q97" s="30"/>
      <c r="R97" s="31"/>
      <c r="S97" s="88"/>
      <c r="T97" s="89"/>
      <c r="U97" s="88"/>
      <c r="V97" s="31"/>
      <c r="W97" s="31"/>
      <c r="X97" s="31"/>
      <c r="Y97" s="89"/>
      <c r="Z97" s="31"/>
      <c r="AA97" s="31"/>
      <c r="AB97" s="31"/>
      <c r="AC97" s="31"/>
      <c r="AD97" s="89"/>
      <c r="AE97" s="31"/>
      <c r="AF97" s="31"/>
      <c r="AG97" s="31"/>
      <c r="AH97" s="31"/>
      <c r="AI97" s="89"/>
      <c r="AJ97" s="31"/>
    </row>
    <row r="98" spans="1:36" ht="14.4" x14ac:dyDescent="0.3">
      <c r="A98" s="109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4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5"/>
      <c r="AH98" s="3"/>
      <c r="AI98" s="3"/>
      <c r="AJ98" s="3"/>
    </row>
    <row r="99" spans="1:36" ht="15" thickBot="1" x14ac:dyDescent="0.35">
      <c r="A99" s="109"/>
      <c r="B99" s="3"/>
      <c r="C99" s="3"/>
      <c r="D99" s="3" t="s">
        <v>294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4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5"/>
      <c r="AH99" s="3"/>
      <c r="AI99" s="3"/>
      <c r="AJ99" s="3"/>
    </row>
    <row r="100" spans="1:36" ht="14.4" x14ac:dyDescent="0.3">
      <c r="B100" s="163" t="s">
        <v>115</v>
      </c>
      <c r="C100" s="164"/>
      <c r="D100" s="164"/>
      <c r="E100" s="165" t="s">
        <v>122</v>
      </c>
      <c r="F100" s="165" t="s">
        <v>123</v>
      </c>
      <c r="G100" s="165" t="s">
        <v>124</v>
      </c>
      <c r="H100" s="165" t="s">
        <v>125</v>
      </c>
      <c r="I100" s="165" t="s">
        <v>126</v>
      </c>
      <c r="J100" s="165" t="s">
        <v>127</v>
      </c>
      <c r="K100" s="166" t="s">
        <v>128</v>
      </c>
      <c r="L100" s="3"/>
      <c r="M100" s="3"/>
      <c r="N100" s="3"/>
      <c r="O100" s="3"/>
      <c r="P100" s="4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5"/>
      <c r="AH100" s="3"/>
      <c r="AI100" s="3"/>
      <c r="AJ100" s="3"/>
    </row>
    <row r="101" spans="1:36" ht="14.4" x14ac:dyDescent="0.3">
      <c r="B101" s="159"/>
      <c r="C101" s="157" t="s">
        <v>116</v>
      </c>
      <c r="D101" s="157"/>
      <c r="E101" s="158">
        <v>152</v>
      </c>
      <c r="F101" s="377">
        <v>63.17</v>
      </c>
      <c r="G101" s="377">
        <f>E101*F101</f>
        <v>9601.84</v>
      </c>
      <c r="H101" s="157">
        <v>4</v>
      </c>
      <c r="I101" s="377">
        <f>G101*H101</f>
        <v>38407.360000000001</v>
      </c>
      <c r="J101" s="157">
        <v>684</v>
      </c>
      <c r="K101" s="375">
        <f>I101-J101</f>
        <v>37723.360000000001</v>
      </c>
      <c r="L101" s="3"/>
      <c r="M101" s="3"/>
      <c r="N101" s="3"/>
      <c r="O101" s="3"/>
      <c r="P101" s="4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5"/>
      <c r="AH101" s="3"/>
      <c r="AI101" s="3"/>
      <c r="AJ101" s="3"/>
    </row>
    <row r="102" spans="1:36" ht="14.4" x14ac:dyDescent="0.3">
      <c r="B102" s="159"/>
      <c r="C102" s="157" t="s">
        <v>117</v>
      </c>
      <c r="D102" s="157"/>
      <c r="E102" s="158">
        <v>114</v>
      </c>
      <c r="F102" s="377">
        <v>63.17</v>
      </c>
      <c r="G102" s="377">
        <f t="shared" ref="G102:G106" si="22">E102*F102</f>
        <v>7201.38</v>
      </c>
      <c r="H102" s="157">
        <v>4</v>
      </c>
      <c r="I102" s="377">
        <f t="shared" ref="I102:I106" si="23">G102*H102</f>
        <v>28805.52</v>
      </c>
      <c r="J102" s="157">
        <v>513</v>
      </c>
      <c r="K102" s="375">
        <f t="shared" ref="K102:K106" si="24">I102-J102</f>
        <v>28292.52</v>
      </c>
      <c r="L102" s="3"/>
      <c r="M102" s="3"/>
      <c r="N102" s="3"/>
      <c r="O102" s="3"/>
      <c r="P102" s="4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5"/>
      <c r="AH102" s="3"/>
      <c r="AI102" s="3"/>
      <c r="AJ102" s="3"/>
    </row>
    <row r="103" spans="1:36" ht="14.4" x14ac:dyDescent="0.3">
      <c r="B103" s="159"/>
      <c r="C103" s="157" t="s">
        <v>118</v>
      </c>
      <c r="D103" s="157"/>
      <c r="E103" s="158">
        <v>114</v>
      </c>
      <c r="F103" s="377">
        <v>63.17</v>
      </c>
      <c r="G103" s="377">
        <f t="shared" si="22"/>
        <v>7201.38</v>
      </c>
      <c r="H103" s="157">
        <v>4</v>
      </c>
      <c r="I103" s="377">
        <f t="shared" si="23"/>
        <v>28805.52</v>
      </c>
      <c r="J103" s="157">
        <v>513</v>
      </c>
      <c r="K103" s="375">
        <f t="shared" si="24"/>
        <v>28292.52</v>
      </c>
      <c r="L103" s="3"/>
      <c r="M103" s="3"/>
      <c r="N103" s="3"/>
      <c r="O103" s="3"/>
      <c r="P103" s="4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5"/>
      <c r="AH103" s="3"/>
      <c r="AI103" s="3"/>
      <c r="AJ103" s="3"/>
    </row>
    <row r="104" spans="1:36" ht="14.4" x14ac:dyDescent="0.3">
      <c r="B104" s="159"/>
      <c r="C104" s="157" t="s">
        <v>119</v>
      </c>
      <c r="D104" s="157"/>
      <c r="E104" s="158">
        <v>114</v>
      </c>
      <c r="F104" s="377">
        <v>63.17</v>
      </c>
      <c r="G104" s="377">
        <f t="shared" si="22"/>
        <v>7201.38</v>
      </c>
      <c r="H104" s="157">
        <v>4</v>
      </c>
      <c r="I104" s="377">
        <f t="shared" si="23"/>
        <v>28805.52</v>
      </c>
      <c r="J104" s="157">
        <v>513</v>
      </c>
      <c r="K104" s="375">
        <f t="shared" si="24"/>
        <v>28292.52</v>
      </c>
      <c r="L104" s="3"/>
      <c r="M104" s="3"/>
      <c r="N104" s="3"/>
      <c r="O104" s="3"/>
      <c r="P104" s="4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5"/>
      <c r="AH104" s="3"/>
      <c r="AI104" s="3"/>
      <c r="AJ104" s="3"/>
    </row>
    <row r="105" spans="1:36" ht="14.4" x14ac:dyDescent="0.3">
      <c r="B105" s="159"/>
      <c r="C105" s="157" t="s">
        <v>120</v>
      </c>
      <c r="D105" s="157"/>
      <c r="E105" s="158">
        <v>114</v>
      </c>
      <c r="F105" s="377">
        <v>63.17</v>
      </c>
      <c r="G105" s="377">
        <f t="shared" si="22"/>
        <v>7201.38</v>
      </c>
      <c r="H105" s="157">
        <v>4</v>
      </c>
      <c r="I105" s="377">
        <f t="shared" si="23"/>
        <v>28805.52</v>
      </c>
      <c r="J105" s="157">
        <v>513</v>
      </c>
      <c r="K105" s="375">
        <f t="shared" si="24"/>
        <v>28292.52</v>
      </c>
      <c r="L105" s="3"/>
      <c r="M105" s="3"/>
      <c r="N105" s="3"/>
      <c r="O105" s="3"/>
      <c r="P105" s="4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5"/>
      <c r="AH105" s="3"/>
      <c r="AI105" s="3"/>
      <c r="AJ105" s="3"/>
    </row>
    <row r="106" spans="1:36" ht="15" thickBot="1" x14ac:dyDescent="0.35">
      <c r="B106" s="159"/>
      <c r="C106" s="157" t="s">
        <v>121</v>
      </c>
      <c r="D106" s="157"/>
      <c r="E106" s="158">
        <v>114</v>
      </c>
      <c r="F106" s="377">
        <v>63.17</v>
      </c>
      <c r="G106" s="493">
        <f t="shared" si="22"/>
        <v>7201.38</v>
      </c>
      <c r="H106" s="157">
        <v>4</v>
      </c>
      <c r="I106" s="378">
        <f t="shared" si="23"/>
        <v>28805.52</v>
      </c>
      <c r="J106" s="157">
        <v>513</v>
      </c>
      <c r="K106" s="376">
        <f t="shared" si="24"/>
        <v>28292.52</v>
      </c>
      <c r="L106" s="3"/>
      <c r="M106" s="3"/>
      <c r="N106" s="3"/>
      <c r="O106" s="3"/>
      <c r="P106" s="4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5"/>
      <c r="AH106" s="3"/>
      <c r="AI106" s="3"/>
      <c r="AJ106" s="3"/>
    </row>
    <row r="107" spans="1:36" ht="15.6" thickTop="1" thickBot="1" x14ac:dyDescent="0.35">
      <c r="B107" s="160"/>
      <c r="C107" s="161"/>
      <c r="D107" s="161"/>
      <c r="E107" s="162"/>
      <c r="F107" s="378"/>
      <c r="G107" s="379">
        <f>SUM(G101:G106)</f>
        <v>45608.74</v>
      </c>
      <c r="H107" s="161"/>
      <c r="I107" s="379">
        <f>SUM(I101:I106)</f>
        <v>182434.96</v>
      </c>
      <c r="J107" s="161"/>
      <c r="K107" s="494">
        <f>SUM(K101:K106)</f>
        <v>179185.96</v>
      </c>
      <c r="L107" s="3"/>
      <c r="M107" s="3"/>
      <c r="N107" s="3"/>
      <c r="O107" s="3"/>
      <c r="P107" s="4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5"/>
      <c r="AH107" s="3"/>
      <c r="AI107" s="3"/>
      <c r="AJ107" s="3"/>
    </row>
    <row r="108" spans="1:36" ht="16.2" thickBot="1" x14ac:dyDescent="0.35">
      <c r="B108" s="59"/>
      <c r="C108" s="59"/>
      <c r="D108" s="59"/>
      <c r="E108" s="59"/>
      <c r="F108" s="59"/>
      <c r="G108" s="59"/>
      <c r="H108" s="59"/>
      <c r="I108" s="495">
        <f>I107</f>
        <v>182434.96</v>
      </c>
      <c r="J108" s="59"/>
      <c r="K108" s="495">
        <f>K107</f>
        <v>179185.96</v>
      </c>
      <c r="L108" s="3"/>
      <c r="M108" s="3"/>
      <c r="N108" s="3"/>
      <c r="O108" s="3"/>
      <c r="P108" s="4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5"/>
      <c r="AH108" s="3"/>
      <c r="AI108" s="3"/>
      <c r="AJ108" s="3"/>
    </row>
    <row r="109" spans="1:36" ht="15" thickBot="1" x14ac:dyDescent="0.35">
      <c r="B109" s="59"/>
      <c r="C109" s="59"/>
      <c r="D109" s="112" t="s">
        <v>297</v>
      </c>
      <c r="E109" s="59"/>
      <c r="F109" s="59"/>
      <c r="G109" s="59"/>
      <c r="H109" s="59"/>
      <c r="I109" s="488"/>
      <c r="J109" s="59"/>
      <c r="K109" s="488"/>
      <c r="L109" s="3"/>
      <c r="M109" s="3"/>
      <c r="N109" s="3"/>
      <c r="O109" s="3"/>
      <c r="P109" s="4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5"/>
      <c r="AH109" s="3"/>
      <c r="AI109" s="3"/>
      <c r="AJ109" s="3"/>
    </row>
    <row r="110" spans="1:36" ht="14.4" x14ac:dyDescent="0.3">
      <c r="B110" s="59"/>
      <c r="C110" s="489" t="s">
        <v>131</v>
      </c>
      <c r="D110" s="503">
        <v>12</v>
      </c>
      <c r="E110" s="490">
        <v>23</v>
      </c>
      <c r="F110" s="490">
        <v>19</v>
      </c>
      <c r="G110" s="490">
        <f>E110*F110</f>
        <v>437</v>
      </c>
      <c r="H110" s="490">
        <v>2</v>
      </c>
      <c r="I110" s="491">
        <f>G110*H110</f>
        <v>874</v>
      </c>
      <c r="J110" s="490"/>
      <c r="K110" s="492"/>
      <c r="L110" s="3"/>
      <c r="M110" s="3"/>
      <c r="N110" s="3"/>
      <c r="O110" s="3"/>
      <c r="P110" s="4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5"/>
      <c r="AH110" s="3"/>
      <c r="AI110" s="3"/>
      <c r="AJ110" s="3"/>
    </row>
    <row r="111" spans="1:36" ht="14.4" x14ac:dyDescent="0.3">
      <c r="B111" s="3"/>
      <c r="C111" s="159" t="s">
        <v>133</v>
      </c>
      <c r="D111" s="504">
        <v>12</v>
      </c>
      <c r="E111" s="157">
        <v>23</v>
      </c>
      <c r="F111" s="157">
        <v>28</v>
      </c>
      <c r="G111" s="157">
        <f t="shared" ref="G111:G114" si="25">E111*F111</f>
        <v>644</v>
      </c>
      <c r="H111" s="157">
        <v>2</v>
      </c>
      <c r="I111" s="377">
        <f t="shared" ref="I111:I114" si="26">G111*H111</f>
        <v>1288</v>
      </c>
      <c r="J111" s="157"/>
      <c r="K111" s="375"/>
      <c r="L111" s="3"/>
      <c r="M111" s="3"/>
      <c r="N111" s="3"/>
      <c r="O111" s="3"/>
      <c r="P111" s="4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5"/>
      <c r="AH111" s="3"/>
      <c r="AI111" s="3"/>
      <c r="AJ111" s="3"/>
    </row>
    <row r="112" spans="1:36" ht="14.4" x14ac:dyDescent="0.3">
      <c r="B112" s="3"/>
      <c r="C112" s="159" t="s">
        <v>132</v>
      </c>
      <c r="D112" s="504">
        <v>24</v>
      </c>
      <c r="E112" s="157">
        <v>23</v>
      </c>
      <c r="F112" s="157">
        <v>19</v>
      </c>
      <c r="G112" s="157">
        <f t="shared" si="25"/>
        <v>437</v>
      </c>
      <c r="H112" s="157">
        <v>2</v>
      </c>
      <c r="I112" s="377">
        <f t="shared" si="26"/>
        <v>874</v>
      </c>
      <c r="J112" s="157"/>
      <c r="K112" s="375"/>
      <c r="L112" s="3"/>
      <c r="M112" s="3"/>
      <c r="N112" s="3"/>
      <c r="O112" s="3"/>
      <c r="P112" s="4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5"/>
      <c r="AH112" s="3"/>
      <c r="AI112" s="3"/>
      <c r="AJ112" s="3"/>
    </row>
    <row r="113" spans="2:36" ht="14.4" x14ac:dyDescent="0.3">
      <c r="B113" s="3"/>
      <c r="C113" s="159" t="s">
        <v>134</v>
      </c>
      <c r="D113" s="504">
        <v>12</v>
      </c>
      <c r="E113" s="157">
        <v>23</v>
      </c>
      <c r="F113" s="157">
        <v>25</v>
      </c>
      <c r="G113" s="157">
        <f t="shared" si="25"/>
        <v>575</v>
      </c>
      <c r="H113" s="157">
        <v>2</v>
      </c>
      <c r="I113" s="377">
        <f t="shared" si="26"/>
        <v>1150</v>
      </c>
      <c r="J113" s="157"/>
      <c r="K113" s="375"/>
      <c r="L113" s="3"/>
      <c r="M113" s="3"/>
      <c r="N113" s="3"/>
      <c r="O113" s="3"/>
      <c r="P113" s="4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5"/>
      <c r="AH113" s="3"/>
      <c r="AI113" s="3"/>
      <c r="AJ113" s="3"/>
    </row>
    <row r="114" spans="2:36" ht="14.4" x14ac:dyDescent="0.3">
      <c r="B114" s="3"/>
      <c r="C114" s="159" t="s">
        <v>135</v>
      </c>
      <c r="D114" s="504">
        <v>56</v>
      </c>
      <c r="E114" s="157">
        <v>23</v>
      </c>
      <c r="F114" s="157">
        <v>19</v>
      </c>
      <c r="G114" s="157">
        <f t="shared" si="25"/>
        <v>437</v>
      </c>
      <c r="H114" s="157">
        <v>2</v>
      </c>
      <c r="I114" s="377">
        <f t="shared" si="26"/>
        <v>874</v>
      </c>
      <c r="J114" s="157"/>
      <c r="K114" s="375"/>
      <c r="L114" s="3"/>
      <c r="M114" s="3"/>
      <c r="N114" s="3"/>
      <c r="O114" s="3"/>
      <c r="P114" s="4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5"/>
      <c r="AH114" s="3"/>
      <c r="AI114" s="3"/>
      <c r="AJ114" s="3"/>
    </row>
    <row r="115" spans="2:36" ht="15" thickBot="1" x14ac:dyDescent="0.35">
      <c r="B115" s="3"/>
      <c r="C115" s="160" t="s">
        <v>295</v>
      </c>
      <c r="D115" s="505">
        <v>24</v>
      </c>
      <c r="E115" s="161">
        <v>23</v>
      </c>
      <c r="F115" s="161">
        <v>28</v>
      </c>
      <c r="G115" s="161">
        <f t="shared" ref="G115" si="27">E115*F115</f>
        <v>644</v>
      </c>
      <c r="H115" s="161">
        <v>1</v>
      </c>
      <c r="I115" s="378">
        <f t="shared" ref="I115" si="28">G115*H115</f>
        <v>644</v>
      </c>
      <c r="J115" s="161"/>
      <c r="K115" s="376"/>
      <c r="L115" s="3"/>
      <c r="M115" s="3"/>
      <c r="N115" s="3"/>
      <c r="O115" s="3"/>
      <c r="P115" s="4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5"/>
      <c r="AH115" s="3"/>
      <c r="AI115" s="3"/>
      <c r="AJ115" s="3"/>
    </row>
    <row r="116" spans="2:36" ht="14.4" x14ac:dyDescent="0.3">
      <c r="B116" s="3"/>
      <c r="C116" s="18" t="s">
        <v>298</v>
      </c>
      <c r="D116" s="4">
        <f>SUM(D110:D115)</f>
        <v>140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4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5"/>
      <c r="AH116" s="3"/>
      <c r="AI116" s="3"/>
      <c r="AJ116" s="3"/>
    </row>
    <row r="117" spans="2:36" ht="14.4" x14ac:dyDescent="0.3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4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5"/>
      <c r="AH117" s="3"/>
      <c r="AI117" s="3"/>
      <c r="AJ117" s="3"/>
    </row>
    <row r="118" spans="2:36" ht="14.4" x14ac:dyDescent="0.3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4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5"/>
      <c r="AH118" s="3"/>
      <c r="AI118" s="3"/>
      <c r="AJ118" s="3"/>
    </row>
    <row r="119" spans="2:36" ht="14.4" x14ac:dyDescent="0.3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4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5"/>
      <c r="AH119" s="3"/>
      <c r="AI119" s="3"/>
      <c r="AJ119" s="3"/>
    </row>
    <row r="120" spans="2:36" ht="14.4" x14ac:dyDescent="0.3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4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5"/>
      <c r="AH120" s="3"/>
      <c r="AI120" s="3"/>
      <c r="AJ120" s="3"/>
    </row>
    <row r="121" spans="2:36" ht="14.4" x14ac:dyDescent="0.3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4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5"/>
      <c r="AH121" s="3"/>
      <c r="AI121" s="3"/>
      <c r="AJ121" s="3"/>
    </row>
    <row r="122" spans="2:36" ht="14.4" x14ac:dyDescent="0.3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4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5"/>
      <c r="AH122" s="3"/>
      <c r="AI122" s="3"/>
      <c r="AJ122" s="3"/>
    </row>
    <row r="123" spans="2:36" ht="14.4" x14ac:dyDescent="0.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4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5"/>
      <c r="AH123" s="3"/>
      <c r="AI123" s="3"/>
      <c r="AJ123" s="3"/>
    </row>
    <row r="124" spans="2:36" ht="14.4" x14ac:dyDescent="0.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4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5"/>
      <c r="AH124" s="3"/>
      <c r="AI124" s="3"/>
      <c r="AJ124" s="3"/>
    </row>
    <row r="125" spans="2:36" ht="14.4" x14ac:dyDescent="0.3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4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5"/>
      <c r="AH125" s="3"/>
      <c r="AI125" s="3"/>
      <c r="AJ125" s="3"/>
    </row>
    <row r="126" spans="2:36" ht="14.4" x14ac:dyDescent="0.3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4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5"/>
      <c r="AH126" s="3"/>
      <c r="AI126" s="3"/>
      <c r="AJ126" s="3"/>
    </row>
    <row r="127" spans="2:36" ht="14.4" x14ac:dyDescent="0.3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4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5"/>
      <c r="AH127" s="3"/>
      <c r="AI127" s="3"/>
      <c r="AJ127" s="3"/>
    </row>
    <row r="128" spans="2:36" ht="14.4" x14ac:dyDescent="0.3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4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5"/>
      <c r="AH128" s="3"/>
      <c r="AI128" s="3"/>
      <c r="AJ128" s="3"/>
    </row>
    <row r="129" spans="2:36" ht="14.4" x14ac:dyDescent="0.3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4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5"/>
      <c r="AH129" s="3"/>
      <c r="AI129" s="3"/>
      <c r="AJ129" s="3"/>
    </row>
    <row r="130" spans="2:36" ht="14.4" x14ac:dyDescent="0.3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4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5"/>
      <c r="AH130" s="3"/>
      <c r="AI130" s="3"/>
      <c r="AJ130" s="3"/>
    </row>
    <row r="131" spans="2:36" ht="14.4" x14ac:dyDescent="0.3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4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5"/>
      <c r="AH131" s="3"/>
      <c r="AI131" s="3"/>
      <c r="AJ131" s="3"/>
    </row>
    <row r="132" spans="2:36" ht="14.4" x14ac:dyDescent="0.3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4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5"/>
      <c r="AH132" s="3"/>
      <c r="AI132" s="3"/>
      <c r="AJ132" s="3"/>
    </row>
    <row r="133" spans="2:36" ht="14.4" x14ac:dyDescent="0.3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4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5"/>
      <c r="AH133" s="3"/>
      <c r="AI133" s="3"/>
      <c r="AJ133" s="3"/>
    </row>
    <row r="134" spans="2:36" ht="14.4" x14ac:dyDescent="0.3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4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5"/>
      <c r="AH134" s="3"/>
      <c r="AI134" s="3"/>
      <c r="AJ134" s="3"/>
    </row>
    <row r="135" spans="2:36" ht="14.4" x14ac:dyDescent="0.3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4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5"/>
      <c r="AH135" s="3"/>
      <c r="AI135" s="3"/>
      <c r="AJ135" s="3"/>
    </row>
    <row r="136" spans="2:36" ht="14.4" x14ac:dyDescent="0.3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4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5"/>
      <c r="AH136" s="3"/>
      <c r="AI136" s="3"/>
      <c r="AJ136" s="3"/>
    </row>
    <row r="137" spans="2:36" ht="14.4" x14ac:dyDescent="0.3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4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5"/>
      <c r="AH137" s="3"/>
      <c r="AI137" s="3"/>
      <c r="AJ137" s="3"/>
    </row>
    <row r="138" spans="2:36" ht="14.4" x14ac:dyDescent="0.3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4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5"/>
      <c r="AH138" s="3"/>
      <c r="AI138" s="3"/>
      <c r="AJ138" s="3"/>
    </row>
    <row r="139" spans="2:36" ht="14.4" x14ac:dyDescent="0.3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4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5"/>
      <c r="AH139" s="3"/>
      <c r="AI139" s="3"/>
      <c r="AJ139" s="3"/>
    </row>
    <row r="140" spans="2:36" ht="14.4" x14ac:dyDescent="0.3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4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5"/>
      <c r="AH140" s="3"/>
      <c r="AI140" s="3"/>
      <c r="AJ140" s="3"/>
    </row>
    <row r="141" spans="2:36" ht="14.4" x14ac:dyDescent="0.3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4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5"/>
      <c r="AH141" s="3"/>
      <c r="AI141" s="3"/>
      <c r="AJ141" s="3"/>
    </row>
    <row r="142" spans="2:36" ht="14.4" x14ac:dyDescent="0.3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4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5"/>
      <c r="AH142" s="3"/>
      <c r="AI142" s="3"/>
      <c r="AJ142" s="3"/>
    </row>
    <row r="143" spans="2:36" ht="14.4" x14ac:dyDescent="0.3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4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5"/>
      <c r="AH143" s="3"/>
      <c r="AI143" s="3"/>
      <c r="AJ143" s="3"/>
    </row>
    <row r="144" spans="2:36" ht="14.4" x14ac:dyDescent="0.3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4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5"/>
      <c r="AH144" s="3"/>
      <c r="AI144" s="3"/>
      <c r="AJ144" s="3"/>
    </row>
    <row r="145" spans="2:36" ht="14.4" x14ac:dyDescent="0.3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4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5"/>
      <c r="AH145" s="3"/>
      <c r="AI145" s="3"/>
      <c r="AJ145" s="3"/>
    </row>
    <row r="146" spans="2:36" ht="14.4" x14ac:dyDescent="0.3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4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5"/>
      <c r="AH146" s="3"/>
      <c r="AI146" s="3"/>
      <c r="AJ146" s="3"/>
    </row>
    <row r="147" spans="2:36" ht="14.4" x14ac:dyDescent="0.3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4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5"/>
      <c r="AH147" s="3"/>
      <c r="AI147" s="3"/>
      <c r="AJ147" s="3"/>
    </row>
    <row r="148" spans="2:36" ht="14.4" x14ac:dyDescent="0.3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4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5"/>
      <c r="AH148" s="3"/>
      <c r="AI148" s="3"/>
      <c r="AJ148" s="3"/>
    </row>
    <row r="149" spans="2:36" ht="14.4" x14ac:dyDescent="0.3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4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5"/>
      <c r="AH149" s="3"/>
      <c r="AI149" s="3"/>
      <c r="AJ149" s="3"/>
    </row>
    <row r="150" spans="2:36" ht="14.4" x14ac:dyDescent="0.3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4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5"/>
      <c r="AH150" s="3"/>
      <c r="AI150" s="3"/>
      <c r="AJ150" s="3"/>
    </row>
    <row r="151" spans="2:36" ht="14.4" x14ac:dyDescent="0.3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4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5"/>
      <c r="AH151" s="3"/>
      <c r="AI151" s="3"/>
      <c r="AJ151" s="3"/>
    </row>
    <row r="152" spans="2:36" ht="14.4" x14ac:dyDescent="0.3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4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5"/>
      <c r="AH152" s="3"/>
      <c r="AI152" s="3"/>
      <c r="AJ152" s="3"/>
    </row>
    <row r="153" spans="2:36" ht="14.4" x14ac:dyDescent="0.3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4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5"/>
      <c r="AH153" s="3"/>
      <c r="AI153" s="3"/>
      <c r="AJ153" s="3"/>
    </row>
    <row r="154" spans="2:36" ht="14.4" x14ac:dyDescent="0.3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4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5"/>
      <c r="AH154" s="3"/>
      <c r="AI154" s="3"/>
      <c r="AJ154" s="3"/>
    </row>
    <row r="155" spans="2:36" ht="14.4" x14ac:dyDescent="0.3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4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5"/>
      <c r="AH155" s="3"/>
      <c r="AI155" s="3"/>
      <c r="AJ155" s="3"/>
    </row>
    <row r="156" spans="2:36" ht="14.4" x14ac:dyDescent="0.3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4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5"/>
      <c r="AH156" s="3"/>
      <c r="AI156" s="3"/>
      <c r="AJ156" s="3"/>
    </row>
    <row r="157" spans="2:36" ht="14.4" x14ac:dyDescent="0.3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4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5"/>
      <c r="AH157" s="3"/>
      <c r="AI157" s="3"/>
      <c r="AJ157" s="3"/>
    </row>
    <row r="158" spans="2:36" ht="14.4" x14ac:dyDescent="0.3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4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5"/>
      <c r="AH158" s="3"/>
      <c r="AI158" s="3"/>
      <c r="AJ158" s="3"/>
    </row>
    <row r="159" spans="2:36" ht="14.4" x14ac:dyDescent="0.3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4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5"/>
      <c r="AH159" s="3"/>
      <c r="AI159" s="3"/>
      <c r="AJ159" s="3"/>
    </row>
    <row r="160" spans="2:36" ht="14.4" x14ac:dyDescent="0.3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4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5"/>
      <c r="AH160" s="3"/>
      <c r="AI160" s="3"/>
      <c r="AJ160" s="3"/>
    </row>
    <row r="161" spans="2:36" ht="14.4" x14ac:dyDescent="0.3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4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5"/>
      <c r="AH161" s="3"/>
      <c r="AI161" s="3"/>
      <c r="AJ161" s="3"/>
    </row>
    <row r="162" spans="2:36" ht="14.4" x14ac:dyDescent="0.3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4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5"/>
      <c r="AH162" s="3"/>
      <c r="AI162" s="3"/>
      <c r="AJ162" s="3"/>
    </row>
    <row r="163" spans="2:36" ht="14.4" x14ac:dyDescent="0.3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4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5"/>
      <c r="AH163" s="3"/>
      <c r="AI163" s="3"/>
      <c r="AJ163" s="3"/>
    </row>
    <row r="164" spans="2:36" ht="14.4" x14ac:dyDescent="0.3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4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5"/>
      <c r="AH164" s="3"/>
      <c r="AI164" s="3"/>
      <c r="AJ164" s="3"/>
    </row>
    <row r="165" spans="2:36" ht="14.4" x14ac:dyDescent="0.3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4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5"/>
      <c r="AH165" s="3"/>
      <c r="AI165" s="3"/>
      <c r="AJ165" s="3"/>
    </row>
    <row r="166" spans="2:36" ht="14.4" x14ac:dyDescent="0.3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4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5"/>
      <c r="AH166" s="3"/>
      <c r="AI166" s="3"/>
      <c r="AJ166" s="3"/>
    </row>
    <row r="167" spans="2:36" ht="14.4" x14ac:dyDescent="0.3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4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5"/>
      <c r="AH167" s="3"/>
      <c r="AI167" s="3"/>
      <c r="AJ167" s="3"/>
    </row>
    <row r="168" spans="2:36" ht="14.4" x14ac:dyDescent="0.3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4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5"/>
      <c r="AH168" s="3"/>
      <c r="AI168" s="3"/>
      <c r="AJ168" s="3"/>
    </row>
    <row r="169" spans="2:36" ht="14.4" x14ac:dyDescent="0.3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4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5"/>
      <c r="AH169" s="3"/>
      <c r="AI169" s="3"/>
      <c r="AJ169" s="3"/>
    </row>
    <row r="170" spans="2:36" ht="14.4" x14ac:dyDescent="0.3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4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5"/>
      <c r="AH170" s="3"/>
      <c r="AI170" s="3"/>
      <c r="AJ170" s="3"/>
    </row>
    <row r="171" spans="2:36" ht="14.4" x14ac:dyDescent="0.3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4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5"/>
      <c r="AH171" s="3"/>
      <c r="AI171" s="3"/>
      <c r="AJ171" s="3"/>
    </row>
    <row r="172" spans="2:36" ht="14.4" x14ac:dyDescent="0.3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4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5"/>
      <c r="AH172" s="3"/>
      <c r="AI172" s="3"/>
      <c r="AJ172" s="3"/>
    </row>
    <row r="173" spans="2:36" ht="14.4" x14ac:dyDescent="0.3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4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5"/>
      <c r="AH173" s="3"/>
      <c r="AI173" s="3"/>
      <c r="AJ173" s="3"/>
    </row>
    <row r="174" spans="2:36" ht="14.4" x14ac:dyDescent="0.3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4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5"/>
      <c r="AH174" s="3"/>
      <c r="AI174" s="3"/>
      <c r="AJ174" s="3"/>
    </row>
    <row r="175" spans="2:36" ht="14.4" x14ac:dyDescent="0.3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4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5"/>
      <c r="AH175" s="3"/>
      <c r="AI175" s="3"/>
      <c r="AJ175" s="3"/>
    </row>
    <row r="176" spans="2:36" ht="14.4" x14ac:dyDescent="0.3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4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5"/>
      <c r="AH176" s="3"/>
      <c r="AI176" s="3"/>
      <c r="AJ176" s="3"/>
    </row>
    <row r="177" spans="2:36" ht="14.4" x14ac:dyDescent="0.3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4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5"/>
      <c r="AH177" s="3"/>
      <c r="AI177" s="3"/>
      <c r="AJ177" s="3"/>
    </row>
    <row r="178" spans="2:36" ht="14.4" x14ac:dyDescent="0.3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4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5"/>
      <c r="AH178" s="3"/>
      <c r="AI178" s="3"/>
      <c r="AJ178" s="3"/>
    </row>
    <row r="179" spans="2:36" ht="14.4" x14ac:dyDescent="0.3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4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5"/>
      <c r="AH179" s="3"/>
      <c r="AI179" s="3"/>
      <c r="AJ179" s="3"/>
    </row>
    <row r="180" spans="2:36" ht="14.4" x14ac:dyDescent="0.3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4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5"/>
      <c r="AH180" s="3"/>
      <c r="AI180" s="3"/>
      <c r="AJ180" s="3"/>
    </row>
    <row r="181" spans="2:36" ht="14.4" x14ac:dyDescent="0.3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4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5"/>
      <c r="AH181" s="3"/>
      <c r="AI181" s="3"/>
      <c r="AJ181" s="3"/>
    </row>
    <row r="182" spans="2:36" ht="14.4" x14ac:dyDescent="0.3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4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5"/>
      <c r="AH182" s="3"/>
      <c r="AI182" s="3"/>
      <c r="AJ182" s="3"/>
    </row>
    <row r="183" spans="2:36" ht="14.4" x14ac:dyDescent="0.3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4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5"/>
      <c r="AH183" s="3"/>
      <c r="AI183" s="3"/>
      <c r="AJ183" s="3"/>
    </row>
    <row r="184" spans="2:36" ht="14.4" x14ac:dyDescent="0.3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4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5"/>
      <c r="AH184" s="3"/>
      <c r="AI184" s="3"/>
      <c r="AJ184" s="3"/>
    </row>
    <row r="185" spans="2:36" ht="14.4" x14ac:dyDescent="0.3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4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5"/>
      <c r="AH185" s="3"/>
      <c r="AI185" s="3"/>
      <c r="AJ185" s="3"/>
    </row>
    <row r="186" spans="2:36" ht="14.4" x14ac:dyDescent="0.3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4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5"/>
      <c r="AH186" s="3"/>
      <c r="AI186" s="3"/>
      <c r="AJ186" s="3"/>
    </row>
    <row r="187" spans="2:36" ht="14.4" x14ac:dyDescent="0.3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4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5"/>
      <c r="AH187" s="3"/>
      <c r="AI187" s="3"/>
      <c r="AJ187" s="3"/>
    </row>
    <row r="188" spans="2:36" ht="14.4" x14ac:dyDescent="0.3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4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5"/>
      <c r="AH188" s="3"/>
      <c r="AI188" s="3"/>
      <c r="AJ188" s="3"/>
    </row>
    <row r="189" spans="2:36" ht="14.4" x14ac:dyDescent="0.3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4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5"/>
      <c r="AH189" s="3"/>
      <c r="AI189" s="3"/>
      <c r="AJ189" s="3"/>
    </row>
    <row r="190" spans="2:36" ht="14.4" x14ac:dyDescent="0.3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4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5"/>
      <c r="AH190" s="3"/>
      <c r="AI190" s="3"/>
      <c r="AJ190" s="3"/>
    </row>
    <row r="191" spans="2:36" ht="14.4" x14ac:dyDescent="0.3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4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5"/>
      <c r="AH191" s="3"/>
      <c r="AI191" s="3"/>
      <c r="AJ191" s="3"/>
    </row>
    <row r="192" spans="2:36" ht="14.4" x14ac:dyDescent="0.3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4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5"/>
      <c r="AH192" s="3"/>
      <c r="AI192" s="3"/>
      <c r="AJ192" s="3"/>
    </row>
    <row r="193" spans="2:36" ht="14.4" x14ac:dyDescent="0.3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4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5"/>
      <c r="AH193" s="3"/>
      <c r="AI193" s="3"/>
      <c r="AJ193" s="3"/>
    </row>
    <row r="194" spans="2:36" ht="14.4" x14ac:dyDescent="0.3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4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5"/>
      <c r="AH194" s="3"/>
      <c r="AI194" s="3"/>
      <c r="AJ194" s="3"/>
    </row>
    <row r="195" spans="2:36" ht="14.4" x14ac:dyDescent="0.3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4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5"/>
      <c r="AH195" s="3"/>
      <c r="AI195" s="3"/>
      <c r="AJ195" s="3"/>
    </row>
    <row r="196" spans="2:36" ht="14.4" x14ac:dyDescent="0.3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4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5"/>
      <c r="AH196" s="3"/>
      <c r="AI196" s="3"/>
      <c r="AJ196" s="3"/>
    </row>
    <row r="197" spans="2:36" ht="14.4" x14ac:dyDescent="0.3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4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5"/>
      <c r="AH197" s="3"/>
      <c r="AI197" s="3"/>
      <c r="AJ197" s="3"/>
    </row>
    <row r="198" spans="2:36" ht="14.4" x14ac:dyDescent="0.3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4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5"/>
      <c r="AH198" s="3"/>
      <c r="AI198" s="3"/>
      <c r="AJ198" s="3"/>
    </row>
    <row r="199" spans="2:36" ht="14.4" x14ac:dyDescent="0.3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4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5"/>
      <c r="AH199" s="3"/>
      <c r="AI199" s="3"/>
      <c r="AJ199" s="3"/>
    </row>
    <row r="200" spans="2:36" ht="14.4" x14ac:dyDescent="0.3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4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5"/>
      <c r="AH200" s="3"/>
      <c r="AI200" s="3"/>
      <c r="AJ200" s="3"/>
    </row>
    <row r="201" spans="2:36" ht="14.4" x14ac:dyDescent="0.3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4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5"/>
      <c r="AH201" s="3"/>
      <c r="AI201" s="3"/>
      <c r="AJ201" s="3"/>
    </row>
    <row r="202" spans="2:36" ht="14.4" x14ac:dyDescent="0.3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4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5"/>
      <c r="AH202" s="3"/>
      <c r="AI202" s="3"/>
      <c r="AJ202" s="3"/>
    </row>
    <row r="203" spans="2:36" ht="14.4" x14ac:dyDescent="0.3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4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5"/>
      <c r="AH203" s="3"/>
      <c r="AI203" s="3"/>
      <c r="AJ203" s="3"/>
    </row>
    <row r="204" spans="2:36" ht="14.4" x14ac:dyDescent="0.3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4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5"/>
      <c r="AH204" s="3"/>
      <c r="AI204" s="3"/>
      <c r="AJ204" s="3"/>
    </row>
    <row r="205" spans="2:36" ht="14.4" x14ac:dyDescent="0.3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4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5"/>
      <c r="AH205" s="3"/>
      <c r="AI205" s="3"/>
      <c r="AJ205" s="3"/>
    </row>
    <row r="206" spans="2:36" ht="14.4" x14ac:dyDescent="0.3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4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5"/>
      <c r="AH206" s="3"/>
      <c r="AI206" s="3"/>
      <c r="AJ206" s="3"/>
    </row>
    <row r="207" spans="2:36" ht="14.4" x14ac:dyDescent="0.3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4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5"/>
      <c r="AH207" s="3"/>
      <c r="AI207" s="3"/>
      <c r="AJ207" s="3"/>
    </row>
    <row r="208" spans="2:36" ht="14.4" x14ac:dyDescent="0.3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4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5"/>
      <c r="AH208" s="3"/>
      <c r="AI208" s="3"/>
      <c r="AJ208" s="3"/>
    </row>
    <row r="209" spans="2:36" ht="14.4" x14ac:dyDescent="0.3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4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5"/>
      <c r="AH209" s="3"/>
      <c r="AI209" s="3"/>
      <c r="AJ209" s="3"/>
    </row>
    <row r="210" spans="2:36" ht="14.4" x14ac:dyDescent="0.3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4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5"/>
      <c r="AH210" s="3"/>
      <c r="AI210" s="3"/>
      <c r="AJ210" s="3"/>
    </row>
    <row r="211" spans="2:36" ht="14.4" x14ac:dyDescent="0.3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4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5"/>
      <c r="AH211" s="3"/>
      <c r="AI211" s="3"/>
      <c r="AJ211" s="3"/>
    </row>
    <row r="212" spans="2:36" ht="14.4" x14ac:dyDescent="0.3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4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5"/>
      <c r="AH212" s="3"/>
      <c r="AI212" s="3"/>
      <c r="AJ212" s="3"/>
    </row>
    <row r="213" spans="2:36" ht="14.4" x14ac:dyDescent="0.3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4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5"/>
      <c r="AH213" s="3"/>
      <c r="AI213" s="3"/>
      <c r="AJ213" s="3"/>
    </row>
    <row r="214" spans="2:36" ht="14.4" x14ac:dyDescent="0.3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4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5"/>
      <c r="AH214" s="3"/>
      <c r="AI214" s="3"/>
      <c r="AJ214" s="3"/>
    </row>
    <row r="215" spans="2:36" ht="14.4" x14ac:dyDescent="0.3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4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5"/>
      <c r="AH215" s="3"/>
      <c r="AI215" s="3"/>
      <c r="AJ215" s="3"/>
    </row>
    <row r="216" spans="2:36" ht="14.4" x14ac:dyDescent="0.3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4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5"/>
      <c r="AH216" s="3"/>
      <c r="AI216" s="3"/>
      <c r="AJ216" s="3"/>
    </row>
    <row r="217" spans="2:36" ht="14.4" x14ac:dyDescent="0.3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4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5"/>
      <c r="AH217" s="3"/>
      <c r="AI217" s="3"/>
      <c r="AJ217" s="3"/>
    </row>
    <row r="218" spans="2:36" ht="14.4" x14ac:dyDescent="0.3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4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5"/>
      <c r="AH218" s="3"/>
      <c r="AI218" s="3"/>
      <c r="AJ218" s="3"/>
    </row>
    <row r="219" spans="2:36" ht="14.4" x14ac:dyDescent="0.3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4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5"/>
      <c r="AH219" s="3"/>
      <c r="AI219" s="3"/>
      <c r="AJ219" s="3"/>
    </row>
    <row r="220" spans="2:36" ht="14.4" x14ac:dyDescent="0.3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4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5"/>
      <c r="AH220" s="3"/>
      <c r="AI220" s="3"/>
      <c r="AJ220" s="3"/>
    </row>
    <row r="221" spans="2:36" ht="14.4" x14ac:dyDescent="0.3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4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5"/>
      <c r="AH221" s="3"/>
      <c r="AI221" s="3"/>
      <c r="AJ221" s="3"/>
    </row>
    <row r="222" spans="2:36" ht="14.4" x14ac:dyDescent="0.3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4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5"/>
      <c r="AH222" s="3"/>
      <c r="AI222" s="3"/>
      <c r="AJ222" s="3"/>
    </row>
    <row r="223" spans="2:36" ht="14.4" x14ac:dyDescent="0.3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4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5"/>
      <c r="AH223" s="3"/>
      <c r="AI223" s="3"/>
      <c r="AJ223" s="3"/>
    </row>
    <row r="224" spans="2:36" ht="14.4" x14ac:dyDescent="0.3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4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5"/>
      <c r="AH224" s="3"/>
      <c r="AI224" s="3"/>
      <c r="AJ224" s="3"/>
    </row>
    <row r="225" spans="2:36" ht="14.4" x14ac:dyDescent="0.3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4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5"/>
      <c r="AH225" s="3"/>
      <c r="AI225" s="3"/>
      <c r="AJ225" s="3"/>
    </row>
    <row r="226" spans="2:36" ht="14.4" x14ac:dyDescent="0.3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4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5"/>
      <c r="AH226" s="3"/>
      <c r="AI226" s="3"/>
      <c r="AJ226" s="3"/>
    </row>
    <row r="227" spans="2:36" ht="14.4" x14ac:dyDescent="0.3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4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5"/>
      <c r="AH227" s="3"/>
      <c r="AI227" s="3"/>
      <c r="AJ227" s="3"/>
    </row>
    <row r="228" spans="2:36" ht="14.4" x14ac:dyDescent="0.3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4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5"/>
      <c r="AH228" s="3"/>
      <c r="AI228" s="3"/>
      <c r="AJ228" s="3"/>
    </row>
    <row r="229" spans="2:36" ht="14.4" x14ac:dyDescent="0.3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4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5"/>
      <c r="AH229" s="3"/>
      <c r="AI229" s="3"/>
      <c r="AJ229" s="3"/>
    </row>
    <row r="230" spans="2:36" ht="14.4" x14ac:dyDescent="0.3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4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5"/>
      <c r="AH230" s="3"/>
      <c r="AI230" s="3"/>
      <c r="AJ230" s="3"/>
    </row>
    <row r="231" spans="2:36" ht="14.4" x14ac:dyDescent="0.3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4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5"/>
      <c r="AH231" s="3"/>
      <c r="AI231" s="3"/>
      <c r="AJ231" s="3"/>
    </row>
    <row r="232" spans="2:36" ht="14.4" x14ac:dyDescent="0.3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4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5"/>
      <c r="AH232" s="3"/>
      <c r="AI232" s="3"/>
      <c r="AJ232" s="3"/>
    </row>
    <row r="233" spans="2:36" ht="14.4" x14ac:dyDescent="0.3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4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5"/>
      <c r="AH233" s="3"/>
      <c r="AI233" s="3"/>
      <c r="AJ233" s="3"/>
    </row>
    <row r="234" spans="2:36" ht="14.4" x14ac:dyDescent="0.3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4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5"/>
      <c r="AH234" s="3"/>
      <c r="AI234" s="3"/>
      <c r="AJ234" s="3"/>
    </row>
    <row r="235" spans="2:36" ht="14.4" x14ac:dyDescent="0.3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4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5"/>
      <c r="AH235" s="3"/>
      <c r="AI235" s="3"/>
      <c r="AJ235" s="3"/>
    </row>
    <row r="236" spans="2:36" ht="14.4" x14ac:dyDescent="0.3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4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5"/>
      <c r="AH236" s="3"/>
      <c r="AI236" s="3"/>
      <c r="AJ236" s="3"/>
    </row>
    <row r="237" spans="2:36" ht="14.4" x14ac:dyDescent="0.3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4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5"/>
      <c r="AH237" s="3"/>
      <c r="AI237" s="3"/>
      <c r="AJ237" s="3"/>
    </row>
    <row r="238" spans="2:36" ht="14.4" x14ac:dyDescent="0.3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4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5"/>
      <c r="AH238" s="3"/>
      <c r="AI238" s="3"/>
      <c r="AJ238" s="3"/>
    </row>
    <row r="239" spans="2:36" ht="14.4" x14ac:dyDescent="0.3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4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5"/>
      <c r="AH239" s="3"/>
      <c r="AI239" s="3"/>
      <c r="AJ239" s="3"/>
    </row>
    <row r="240" spans="2:36" ht="14.4" x14ac:dyDescent="0.3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4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5"/>
      <c r="AH240" s="3"/>
      <c r="AI240" s="3"/>
      <c r="AJ240" s="3"/>
    </row>
    <row r="241" spans="2:36" ht="14.4" x14ac:dyDescent="0.3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4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5"/>
      <c r="AH241" s="3"/>
      <c r="AI241" s="3"/>
      <c r="AJ241" s="3"/>
    </row>
    <row r="242" spans="2:36" ht="14.4" x14ac:dyDescent="0.3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4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5"/>
      <c r="AH242" s="3"/>
      <c r="AI242" s="3"/>
      <c r="AJ242" s="3"/>
    </row>
    <row r="243" spans="2:36" ht="14.4" x14ac:dyDescent="0.3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4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5"/>
      <c r="AH243" s="3"/>
      <c r="AI243" s="3"/>
      <c r="AJ243" s="3"/>
    </row>
    <row r="244" spans="2:36" ht="14.4" x14ac:dyDescent="0.3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4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5"/>
      <c r="AH244" s="3"/>
      <c r="AI244" s="3"/>
      <c r="AJ244" s="3"/>
    </row>
    <row r="245" spans="2:36" ht="14.4" x14ac:dyDescent="0.3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4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5"/>
      <c r="AH245" s="3"/>
      <c r="AI245" s="3"/>
      <c r="AJ245" s="3"/>
    </row>
    <row r="246" spans="2:36" ht="14.4" x14ac:dyDescent="0.3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4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5"/>
      <c r="AH246" s="3"/>
      <c r="AI246" s="3"/>
      <c r="AJ246" s="3"/>
    </row>
    <row r="247" spans="2:36" ht="14.4" x14ac:dyDescent="0.3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4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5"/>
      <c r="AH247" s="3"/>
      <c r="AI247" s="3"/>
      <c r="AJ247" s="3"/>
    </row>
    <row r="248" spans="2:36" ht="14.4" x14ac:dyDescent="0.3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4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5"/>
      <c r="AH248" s="3"/>
      <c r="AI248" s="3"/>
      <c r="AJ248" s="3"/>
    </row>
    <row r="249" spans="2:36" ht="14.4" x14ac:dyDescent="0.3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4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5"/>
      <c r="AH249" s="3"/>
      <c r="AI249" s="3"/>
      <c r="AJ249" s="3"/>
    </row>
    <row r="250" spans="2:36" ht="14.4" x14ac:dyDescent="0.3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4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5"/>
      <c r="AH250" s="3"/>
      <c r="AI250" s="3"/>
      <c r="AJ250" s="3"/>
    </row>
    <row r="251" spans="2:36" ht="14.4" x14ac:dyDescent="0.3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4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5"/>
      <c r="AH251" s="3"/>
      <c r="AI251" s="3"/>
      <c r="AJ251" s="3"/>
    </row>
    <row r="252" spans="2:36" ht="14.4" x14ac:dyDescent="0.3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4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5"/>
      <c r="AH252" s="3"/>
      <c r="AI252" s="3"/>
      <c r="AJ252" s="3"/>
    </row>
    <row r="253" spans="2:36" ht="14.4" x14ac:dyDescent="0.3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4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5"/>
      <c r="AH253" s="3"/>
      <c r="AI253" s="3"/>
      <c r="AJ253" s="3"/>
    </row>
    <row r="254" spans="2:36" ht="14.4" x14ac:dyDescent="0.3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4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5"/>
      <c r="AH254" s="3"/>
      <c r="AI254" s="3"/>
      <c r="AJ254" s="3"/>
    </row>
    <row r="255" spans="2:36" ht="14.4" x14ac:dyDescent="0.3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4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5"/>
      <c r="AH255" s="3"/>
      <c r="AI255" s="3"/>
      <c r="AJ255" s="3"/>
    </row>
    <row r="256" spans="2:36" ht="14.4" x14ac:dyDescent="0.3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4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5"/>
      <c r="AH256" s="3"/>
      <c r="AI256" s="3"/>
      <c r="AJ256" s="3"/>
    </row>
    <row r="257" spans="2:36" ht="14.4" x14ac:dyDescent="0.3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4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5"/>
      <c r="AH257" s="3"/>
      <c r="AI257" s="3"/>
      <c r="AJ257" s="3"/>
    </row>
    <row r="258" spans="2:36" ht="14.4" x14ac:dyDescent="0.3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4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5"/>
      <c r="AH258" s="3"/>
      <c r="AI258" s="3"/>
      <c r="AJ258" s="3"/>
    </row>
    <row r="259" spans="2:36" ht="14.4" x14ac:dyDescent="0.3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4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5"/>
      <c r="AH259" s="3"/>
      <c r="AI259" s="3"/>
      <c r="AJ259" s="3"/>
    </row>
    <row r="260" spans="2:36" ht="14.4" x14ac:dyDescent="0.3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4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5"/>
      <c r="AH260" s="3"/>
      <c r="AI260" s="3"/>
      <c r="AJ260" s="3"/>
    </row>
    <row r="261" spans="2:36" ht="14.4" x14ac:dyDescent="0.3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4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5"/>
      <c r="AH261" s="3"/>
      <c r="AI261" s="3"/>
      <c r="AJ261" s="3"/>
    </row>
    <row r="262" spans="2:36" ht="14.4" x14ac:dyDescent="0.3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4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5"/>
      <c r="AH262" s="3"/>
      <c r="AI262" s="3"/>
      <c r="AJ262" s="3"/>
    </row>
    <row r="263" spans="2:36" ht="14.4" x14ac:dyDescent="0.3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4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5"/>
      <c r="AH263" s="3"/>
      <c r="AI263" s="3"/>
      <c r="AJ263" s="3"/>
    </row>
    <row r="264" spans="2:36" ht="14.4" x14ac:dyDescent="0.3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4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5"/>
      <c r="AH264" s="3"/>
      <c r="AI264" s="3"/>
      <c r="AJ264" s="3"/>
    </row>
    <row r="265" spans="2:36" ht="14.4" x14ac:dyDescent="0.3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4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5"/>
      <c r="AH265" s="3"/>
      <c r="AI265" s="3"/>
      <c r="AJ265" s="3"/>
    </row>
    <row r="266" spans="2:36" ht="14.4" x14ac:dyDescent="0.3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4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5"/>
      <c r="AH266" s="3"/>
      <c r="AI266" s="3"/>
      <c r="AJ266" s="3"/>
    </row>
    <row r="267" spans="2:36" ht="14.4" x14ac:dyDescent="0.3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4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5"/>
      <c r="AH267" s="3"/>
      <c r="AI267" s="3"/>
      <c r="AJ267" s="3"/>
    </row>
    <row r="268" spans="2:36" ht="14.4" x14ac:dyDescent="0.3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4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5"/>
      <c r="AH268" s="3"/>
      <c r="AI268" s="3"/>
      <c r="AJ268" s="3"/>
    </row>
    <row r="269" spans="2:36" ht="14.4" x14ac:dyDescent="0.3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4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5"/>
      <c r="AH269" s="3"/>
      <c r="AI269" s="3"/>
      <c r="AJ269" s="3"/>
    </row>
    <row r="270" spans="2:36" ht="14.4" x14ac:dyDescent="0.3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4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5"/>
      <c r="AH270" s="3"/>
      <c r="AI270" s="3"/>
      <c r="AJ270" s="3"/>
    </row>
    <row r="271" spans="2:36" ht="14.4" x14ac:dyDescent="0.3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4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5"/>
      <c r="AH271" s="3"/>
      <c r="AI271" s="3"/>
      <c r="AJ271" s="3"/>
    </row>
    <row r="272" spans="2:36" ht="14.4" x14ac:dyDescent="0.3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4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5"/>
      <c r="AH272" s="3"/>
      <c r="AI272" s="3"/>
      <c r="AJ272" s="3"/>
    </row>
    <row r="273" spans="2:36" ht="14.4" x14ac:dyDescent="0.3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4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5"/>
      <c r="AH273" s="3"/>
      <c r="AI273" s="3"/>
      <c r="AJ273" s="3"/>
    </row>
    <row r="274" spans="2:36" ht="14.4" x14ac:dyDescent="0.3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4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5"/>
      <c r="AH274" s="3"/>
      <c r="AI274" s="3"/>
      <c r="AJ274" s="3"/>
    </row>
    <row r="275" spans="2:36" ht="14.4" x14ac:dyDescent="0.3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4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5"/>
      <c r="AH275" s="3"/>
      <c r="AI275" s="3"/>
      <c r="AJ275" s="3"/>
    </row>
    <row r="276" spans="2:36" ht="14.4" x14ac:dyDescent="0.3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4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5"/>
      <c r="AH276" s="3"/>
      <c r="AI276" s="3"/>
      <c r="AJ276" s="3"/>
    </row>
    <row r="277" spans="2:36" ht="14.4" x14ac:dyDescent="0.3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4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5"/>
      <c r="AH277" s="3"/>
      <c r="AI277" s="3"/>
      <c r="AJ277" s="3"/>
    </row>
    <row r="278" spans="2:36" ht="14.4" x14ac:dyDescent="0.3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4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5"/>
      <c r="AH278" s="3"/>
      <c r="AI278" s="3"/>
      <c r="AJ278" s="3"/>
    </row>
    <row r="279" spans="2:36" ht="14.4" x14ac:dyDescent="0.3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4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5"/>
      <c r="AH279" s="3"/>
      <c r="AI279" s="3"/>
      <c r="AJ279" s="3"/>
    </row>
    <row r="280" spans="2:36" ht="14.4" x14ac:dyDescent="0.3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4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5"/>
      <c r="AH280" s="3"/>
      <c r="AI280" s="3"/>
      <c r="AJ280" s="3"/>
    </row>
    <row r="281" spans="2:36" ht="14.4" x14ac:dyDescent="0.3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4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5"/>
      <c r="AH281" s="3"/>
      <c r="AI281" s="3"/>
      <c r="AJ281" s="3"/>
    </row>
    <row r="282" spans="2:36" ht="14.4" x14ac:dyDescent="0.3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4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5"/>
      <c r="AH282" s="3"/>
      <c r="AI282" s="3"/>
      <c r="AJ282" s="3"/>
    </row>
    <row r="283" spans="2:36" ht="14.4" x14ac:dyDescent="0.3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4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5"/>
      <c r="AH283" s="3"/>
      <c r="AI283" s="3"/>
      <c r="AJ283" s="3"/>
    </row>
    <row r="284" spans="2:36" ht="14.4" x14ac:dyDescent="0.3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4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5"/>
      <c r="AH284" s="3"/>
      <c r="AI284" s="3"/>
      <c r="AJ284" s="3"/>
    </row>
    <row r="285" spans="2:36" ht="14.4" x14ac:dyDescent="0.3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4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5"/>
      <c r="AH285" s="3"/>
      <c r="AI285" s="3"/>
      <c r="AJ285" s="3"/>
    </row>
    <row r="286" spans="2:36" ht="14.4" x14ac:dyDescent="0.3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4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5"/>
      <c r="AH286" s="3"/>
      <c r="AI286" s="3"/>
      <c r="AJ286" s="3"/>
    </row>
    <row r="287" spans="2:36" ht="14.4" x14ac:dyDescent="0.3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4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5"/>
      <c r="AH287" s="3"/>
      <c r="AI287" s="3"/>
      <c r="AJ287" s="3"/>
    </row>
    <row r="288" spans="2:36" ht="14.4" x14ac:dyDescent="0.3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4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5"/>
      <c r="AH288" s="3"/>
      <c r="AI288" s="3"/>
      <c r="AJ288" s="3"/>
    </row>
    <row r="289" spans="2:36" ht="14.4" x14ac:dyDescent="0.3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4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5"/>
      <c r="AH289" s="3"/>
      <c r="AI289" s="3"/>
      <c r="AJ289" s="3"/>
    </row>
    <row r="290" spans="2:36" ht="14.4" x14ac:dyDescent="0.3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4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5"/>
      <c r="AH290" s="3"/>
      <c r="AI290" s="3"/>
      <c r="AJ290" s="3"/>
    </row>
    <row r="291" spans="2:36" ht="14.4" x14ac:dyDescent="0.3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4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5"/>
      <c r="AH291" s="3"/>
      <c r="AI291" s="3"/>
      <c r="AJ291" s="3"/>
    </row>
    <row r="292" spans="2:36" ht="14.4" x14ac:dyDescent="0.3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4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5"/>
      <c r="AH292" s="3"/>
      <c r="AI292" s="3"/>
      <c r="AJ292" s="3"/>
    </row>
    <row r="293" spans="2:36" ht="14.4" x14ac:dyDescent="0.3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4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5"/>
      <c r="AH293" s="3"/>
      <c r="AI293" s="3"/>
      <c r="AJ293" s="3"/>
    </row>
    <row r="294" spans="2:36" ht="14.4" x14ac:dyDescent="0.3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4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5"/>
      <c r="AH294" s="3"/>
      <c r="AI294" s="3"/>
      <c r="AJ294" s="3"/>
    </row>
    <row r="295" spans="2:36" ht="14.4" x14ac:dyDescent="0.3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4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5"/>
      <c r="AH295" s="3"/>
      <c r="AI295" s="3"/>
      <c r="AJ295" s="3"/>
    </row>
    <row r="296" spans="2:36" ht="14.4" x14ac:dyDescent="0.3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4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5"/>
      <c r="AH296" s="3"/>
      <c r="AI296" s="3"/>
      <c r="AJ296" s="3"/>
    </row>
    <row r="297" spans="2:36" ht="14.4" x14ac:dyDescent="0.3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4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5"/>
      <c r="AH297" s="3"/>
      <c r="AI297" s="3"/>
      <c r="AJ297" s="3"/>
    </row>
    <row r="298" spans="2:36" ht="14.4" x14ac:dyDescent="0.3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4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5"/>
      <c r="AH298" s="3"/>
      <c r="AI298" s="3"/>
      <c r="AJ298" s="3"/>
    </row>
    <row r="299" spans="2:36" ht="14.4" x14ac:dyDescent="0.3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4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5"/>
      <c r="AH299" s="3"/>
      <c r="AI299" s="3"/>
      <c r="AJ299" s="3"/>
    </row>
    <row r="300" spans="2:36" ht="14.4" x14ac:dyDescent="0.3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4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5"/>
      <c r="AH300" s="3"/>
      <c r="AI300" s="3"/>
      <c r="AJ300" s="3"/>
    </row>
    <row r="301" spans="2:36" ht="14.4" x14ac:dyDescent="0.3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4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5"/>
      <c r="AH301" s="3"/>
      <c r="AI301" s="3"/>
      <c r="AJ301" s="3"/>
    </row>
    <row r="302" spans="2:36" ht="14.4" x14ac:dyDescent="0.3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4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5"/>
      <c r="AH302" s="3"/>
      <c r="AI302" s="3"/>
      <c r="AJ302" s="3"/>
    </row>
    <row r="303" spans="2:36" ht="14.4" x14ac:dyDescent="0.3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4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5"/>
      <c r="AH303" s="3"/>
      <c r="AI303" s="3"/>
      <c r="AJ303" s="3"/>
    </row>
    <row r="304" spans="2:36" ht="14.4" x14ac:dyDescent="0.3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4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5"/>
      <c r="AH304" s="3"/>
      <c r="AI304" s="3"/>
      <c r="AJ304" s="3"/>
    </row>
    <row r="305" spans="2:36" ht="14.4" x14ac:dyDescent="0.3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4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5"/>
      <c r="AH305" s="3"/>
      <c r="AI305" s="3"/>
      <c r="AJ305" s="3"/>
    </row>
    <row r="306" spans="2:36" ht="14.4" x14ac:dyDescent="0.3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4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5"/>
      <c r="AH306" s="3"/>
      <c r="AI306" s="3"/>
      <c r="AJ306" s="3"/>
    </row>
    <row r="307" spans="2:36" ht="14.4" x14ac:dyDescent="0.3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4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5"/>
      <c r="AH307" s="3"/>
      <c r="AI307" s="3"/>
      <c r="AJ307" s="3"/>
    </row>
    <row r="308" spans="2:36" ht="14.4" x14ac:dyDescent="0.3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4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5"/>
      <c r="AH308" s="3"/>
      <c r="AI308" s="3"/>
      <c r="AJ308" s="3"/>
    </row>
    <row r="309" spans="2:36" ht="14.4" x14ac:dyDescent="0.3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4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5"/>
      <c r="AH309" s="3"/>
      <c r="AI309" s="3"/>
      <c r="AJ309" s="3"/>
    </row>
    <row r="310" spans="2:36" ht="14.4" x14ac:dyDescent="0.3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4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5"/>
      <c r="AH310" s="3"/>
      <c r="AI310" s="3"/>
      <c r="AJ310" s="3"/>
    </row>
    <row r="311" spans="2:36" ht="14.4" x14ac:dyDescent="0.3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4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5"/>
      <c r="AH311" s="3"/>
      <c r="AI311" s="3"/>
      <c r="AJ311" s="3"/>
    </row>
    <row r="312" spans="2:36" ht="14.4" x14ac:dyDescent="0.3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4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5"/>
      <c r="AH312" s="3"/>
      <c r="AI312" s="3"/>
      <c r="AJ312" s="3"/>
    </row>
    <row r="313" spans="2:36" ht="14.4" x14ac:dyDescent="0.3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4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5"/>
      <c r="AH313" s="3"/>
      <c r="AI313" s="3"/>
      <c r="AJ313" s="3"/>
    </row>
    <row r="314" spans="2:36" ht="14.4" x14ac:dyDescent="0.3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4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5"/>
      <c r="AH314" s="3"/>
      <c r="AI314" s="3"/>
      <c r="AJ314" s="3"/>
    </row>
    <row r="315" spans="2:36" ht="14.4" x14ac:dyDescent="0.3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4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5"/>
      <c r="AH315" s="3"/>
      <c r="AI315" s="3"/>
      <c r="AJ315" s="3"/>
    </row>
    <row r="316" spans="2:36" ht="14.4" x14ac:dyDescent="0.3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4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5"/>
      <c r="AH316" s="3"/>
      <c r="AI316" s="3"/>
      <c r="AJ316" s="3"/>
    </row>
    <row r="317" spans="2:36" ht="14.4" x14ac:dyDescent="0.3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4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5"/>
      <c r="AH317" s="3"/>
      <c r="AI317" s="3"/>
      <c r="AJ317" s="3"/>
    </row>
    <row r="318" spans="2:36" ht="14.4" x14ac:dyDescent="0.3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4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5"/>
      <c r="AH318" s="3"/>
      <c r="AI318" s="3"/>
      <c r="AJ318" s="3"/>
    </row>
    <row r="319" spans="2:36" ht="14.4" x14ac:dyDescent="0.3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4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5"/>
      <c r="AH319" s="3"/>
      <c r="AI319" s="3"/>
      <c r="AJ319" s="3"/>
    </row>
    <row r="320" spans="2:36" ht="14.4" x14ac:dyDescent="0.3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4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5"/>
      <c r="AH320" s="3"/>
      <c r="AI320" s="3"/>
      <c r="AJ320" s="3"/>
    </row>
    <row r="321" spans="2:36" ht="14.4" x14ac:dyDescent="0.3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4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5"/>
      <c r="AH321" s="3"/>
      <c r="AI321" s="3"/>
      <c r="AJ321" s="3"/>
    </row>
    <row r="322" spans="2:36" ht="14.4" x14ac:dyDescent="0.3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4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5"/>
      <c r="AH322" s="3"/>
      <c r="AI322" s="3"/>
      <c r="AJ322" s="3"/>
    </row>
    <row r="323" spans="2:36" ht="14.4" x14ac:dyDescent="0.3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4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5"/>
      <c r="AH323" s="3"/>
      <c r="AI323" s="3"/>
      <c r="AJ323" s="3"/>
    </row>
    <row r="324" spans="2:36" ht="14.4" x14ac:dyDescent="0.3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4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5"/>
      <c r="AH324" s="3"/>
      <c r="AI324" s="3"/>
      <c r="AJ324" s="3"/>
    </row>
    <row r="325" spans="2:36" ht="14.4" x14ac:dyDescent="0.3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4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5"/>
      <c r="AH325" s="3"/>
      <c r="AI325" s="3"/>
      <c r="AJ325" s="3"/>
    </row>
    <row r="326" spans="2:36" ht="14.4" x14ac:dyDescent="0.3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4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5"/>
      <c r="AH326" s="3"/>
      <c r="AI326" s="3"/>
      <c r="AJ326" s="3"/>
    </row>
    <row r="327" spans="2:36" ht="14.4" x14ac:dyDescent="0.3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4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5"/>
      <c r="AH327" s="3"/>
      <c r="AI327" s="3"/>
      <c r="AJ327" s="3"/>
    </row>
    <row r="328" spans="2:36" ht="14.4" x14ac:dyDescent="0.3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4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5"/>
      <c r="AH328" s="3"/>
      <c r="AI328" s="3"/>
      <c r="AJ328" s="3"/>
    </row>
    <row r="329" spans="2:36" ht="14.4" x14ac:dyDescent="0.3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4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5"/>
      <c r="AH329" s="3"/>
      <c r="AI329" s="3"/>
      <c r="AJ329" s="3"/>
    </row>
    <row r="330" spans="2:36" ht="14.4" x14ac:dyDescent="0.3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4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5"/>
      <c r="AH330" s="3"/>
      <c r="AI330" s="3"/>
      <c r="AJ330" s="3"/>
    </row>
    <row r="331" spans="2:36" ht="14.4" x14ac:dyDescent="0.3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4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5"/>
      <c r="AH331" s="3"/>
      <c r="AI331" s="3"/>
      <c r="AJ331" s="3"/>
    </row>
    <row r="332" spans="2:36" ht="14.4" x14ac:dyDescent="0.3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4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5"/>
      <c r="AH332" s="3"/>
      <c r="AI332" s="3"/>
      <c r="AJ332" s="3"/>
    </row>
    <row r="333" spans="2:36" ht="14.4" x14ac:dyDescent="0.3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4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5"/>
      <c r="AH333" s="3"/>
      <c r="AI333" s="3"/>
      <c r="AJ333" s="3"/>
    </row>
    <row r="334" spans="2:36" ht="14.4" x14ac:dyDescent="0.3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4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5"/>
      <c r="AH334" s="3"/>
      <c r="AI334" s="3"/>
      <c r="AJ334" s="3"/>
    </row>
    <row r="335" spans="2:36" ht="14.4" x14ac:dyDescent="0.3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4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5"/>
      <c r="AH335" s="3"/>
      <c r="AI335" s="3"/>
      <c r="AJ335" s="3"/>
    </row>
    <row r="336" spans="2:36" ht="14.4" x14ac:dyDescent="0.3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4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5"/>
      <c r="AH336" s="3"/>
      <c r="AI336" s="3"/>
      <c r="AJ336" s="3"/>
    </row>
    <row r="337" spans="2:36" ht="14.4" x14ac:dyDescent="0.3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4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5"/>
      <c r="AH337" s="3"/>
      <c r="AI337" s="3"/>
      <c r="AJ337" s="3"/>
    </row>
    <row r="338" spans="2:36" ht="14.4" x14ac:dyDescent="0.3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4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5"/>
      <c r="AH338" s="3"/>
      <c r="AI338" s="3"/>
      <c r="AJ338" s="3"/>
    </row>
    <row r="339" spans="2:36" ht="14.4" x14ac:dyDescent="0.3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4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5"/>
      <c r="AH339" s="3"/>
      <c r="AI339" s="3"/>
      <c r="AJ339" s="3"/>
    </row>
    <row r="340" spans="2:36" ht="14.4" x14ac:dyDescent="0.3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4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5"/>
      <c r="AH340" s="3"/>
      <c r="AI340" s="3"/>
      <c r="AJ340" s="3"/>
    </row>
    <row r="341" spans="2:36" ht="14.4" x14ac:dyDescent="0.3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4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5"/>
      <c r="AH341" s="3"/>
      <c r="AI341" s="3"/>
      <c r="AJ341" s="3"/>
    </row>
    <row r="342" spans="2:36" ht="14.4" x14ac:dyDescent="0.3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4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5"/>
      <c r="AH342" s="3"/>
      <c r="AI342" s="3"/>
      <c r="AJ342" s="3"/>
    </row>
    <row r="343" spans="2:36" ht="14.4" x14ac:dyDescent="0.3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4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5"/>
      <c r="AH343" s="3"/>
      <c r="AI343" s="3"/>
      <c r="AJ343" s="3"/>
    </row>
    <row r="344" spans="2:36" ht="14.4" x14ac:dyDescent="0.3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4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5"/>
      <c r="AH344" s="3"/>
      <c r="AI344" s="3"/>
      <c r="AJ344" s="3"/>
    </row>
    <row r="345" spans="2:36" ht="14.4" x14ac:dyDescent="0.3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4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5"/>
      <c r="AH345" s="3"/>
      <c r="AI345" s="3"/>
      <c r="AJ345" s="3"/>
    </row>
    <row r="346" spans="2:36" ht="14.4" x14ac:dyDescent="0.3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4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5"/>
      <c r="AH346" s="3"/>
      <c r="AI346" s="3"/>
      <c r="AJ346" s="3"/>
    </row>
    <row r="347" spans="2:36" ht="14.4" x14ac:dyDescent="0.3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4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5"/>
      <c r="AH347" s="3"/>
      <c r="AI347" s="3"/>
      <c r="AJ347" s="3"/>
    </row>
    <row r="348" spans="2:36" ht="14.4" x14ac:dyDescent="0.3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4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5"/>
      <c r="AH348" s="3"/>
      <c r="AI348" s="3"/>
      <c r="AJ348" s="3"/>
    </row>
    <row r="349" spans="2:36" ht="14.4" x14ac:dyDescent="0.3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4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5"/>
      <c r="AH349" s="3"/>
      <c r="AI349" s="3"/>
      <c r="AJ349" s="3"/>
    </row>
    <row r="350" spans="2:36" ht="14.4" x14ac:dyDescent="0.3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4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5"/>
      <c r="AH350" s="3"/>
      <c r="AI350" s="3"/>
      <c r="AJ350" s="3"/>
    </row>
    <row r="351" spans="2:36" ht="14.4" x14ac:dyDescent="0.3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4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5"/>
      <c r="AH351" s="3"/>
      <c r="AI351" s="3"/>
      <c r="AJ351" s="3"/>
    </row>
    <row r="352" spans="2:36" ht="14.4" x14ac:dyDescent="0.3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4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5"/>
      <c r="AH352" s="3"/>
      <c r="AI352" s="3"/>
      <c r="AJ352" s="3"/>
    </row>
    <row r="353" spans="2:36" ht="14.4" x14ac:dyDescent="0.3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4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5"/>
      <c r="AH353" s="3"/>
      <c r="AI353" s="3"/>
      <c r="AJ353" s="3"/>
    </row>
    <row r="354" spans="2:36" ht="14.4" x14ac:dyDescent="0.3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4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5"/>
      <c r="AH354" s="3"/>
      <c r="AI354" s="3"/>
      <c r="AJ354" s="3"/>
    </row>
    <row r="355" spans="2:36" ht="14.4" x14ac:dyDescent="0.3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4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5"/>
      <c r="AH355" s="3"/>
      <c r="AI355" s="3"/>
      <c r="AJ355" s="3"/>
    </row>
    <row r="356" spans="2:36" ht="14.4" x14ac:dyDescent="0.3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4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5"/>
      <c r="AH356" s="3"/>
      <c r="AI356" s="3"/>
      <c r="AJ356" s="3"/>
    </row>
    <row r="357" spans="2:36" ht="14.4" x14ac:dyDescent="0.3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4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5"/>
      <c r="AH357" s="3"/>
      <c r="AI357" s="3"/>
      <c r="AJ357" s="3"/>
    </row>
    <row r="358" spans="2:36" ht="14.4" x14ac:dyDescent="0.3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4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5"/>
      <c r="AH358" s="3"/>
      <c r="AI358" s="3"/>
      <c r="AJ358" s="3"/>
    </row>
    <row r="359" spans="2:36" ht="14.4" x14ac:dyDescent="0.3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4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5"/>
      <c r="AH359" s="3"/>
      <c r="AI359" s="3"/>
      <c r="AJ359" s="3"/>
    </row>
    <row r="360" spans="2:36" ht="14.4" x14ac:dyDescent="0.3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4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5"/>
      <c r="AH360" s="3"/>
      <c r="AI360" s="3"/>
      <c r="AJ360" s="3"/>
    </row>
    <row r="361" spans="2:36" ht="14.4" x14ac:dyDescent="0.3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4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5"/>
      <c r="AH361" s="3"/>
      <c r="AI361" s="3"/>
      <c r="AJ361" s="3"/>
    </row>
    <row r="362" spans="2:36" ht="14.4" x14ac:dyDescent="0.3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4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5"/>
      <c r="AH362" s="3"/>
      <c r="AI362" s="3"/>
      <c r="AJ362" s="3"/>
    </row>
    <row r="363" spans="2:36" ht="14.4" x14ac:dyDescent="0.3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4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5"/>
      <c r="AH363" s="3"/>
      <c r="AI363" s="3"/>
      <c r="AJ363" s="3"/>
    </row>
    <row r="364" spans="2:36" ht="14.4" x14ac:dyDescent="0.3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4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5"/>
      <c r="AH364" s="3"/>
      <c r="AI364" s="3"/>
      <c r="AJ364" s="3"/>
    </row>
    <row r="365" spans="2:36" ht="14.4" x14ac:dyDescent="0.3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4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5"/>
      <c r="AH365" s="3"/>
      <c r="AI365" s="3"/>
      <c r="AJ365" s="3"/>
    </row>
    <row r="366" spans="2:36" ht="14.4" x14ac:dyDescent="0.3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4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5"/>
      <c r="AH366" s="3"/>
      <c r="AI366" s="3"/>
      <c r="AJ366" s="3"/>
    </row>
    <row r="367" spans="2:36" ht="14.4" x14ac:dyDescent="0.3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4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5"/>
      <c r="AH367" s="3"/>
      <c r="AI367" s="3"/>
      <c r="AJ367" s="3"/>
    </row>
    <row r="368" spans="2:36" ht="14.4" x14ac:dyDescent="0.3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4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5"/>
      <c r="AH368" s="3"/>
      <c r="AI368" s="3"/>
      <c r="AJ368" s="3"/>
    </row>
    <row r="369" spans="2:36" ht="14.4" x14ac:dyDescent="0.3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4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5"/>
      <c r="AH369" s="3"/>
      <c r="AI369" s="3"/>
      <c r="AJ369" s="3"/>
    </row>
    <row r="370" spans="2:36" ht="14.4" x14ac:dyDescent="0.3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4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5"/>
      <c r="AH370" s="3"/>
      <c r="AI370" s="3"/>
      <c r="AJ370" s="3"/>
    </row>
    <row r="371" spans="2:36" ht="14.4" x14ac:dyDescent="0.3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4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5"/>
      <c r="AH371" s="3"/>
      <c r="AI371" s="3"/>
      <c r="AJ371" s="3"/>
    </row>
    <row r="372" spans="2:36" ht="14.4" x14ac:dyDescent="0.3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4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5"/>
      <c r="AH372" s="3"/>
      <c r="AI372" s="3"/>
      <c r="AJ372" s="3"/>
    </row>
    <row r="373" spans="2:36" ht="14.4" x14ac:dyDescent="0.3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4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5"/>
      <c r="AH373" s="3"/>
      <c r="AI373" s="3"/>
      <c r="AJ373" s="3"/>
    </row>
    <row r="374" spans="2:36" ht="14.4" x14ac:dyDescent="0.3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4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5"/>
      <c r="AH374" s="3"/>
      <c r="AI374" s="3"/>
      <c r="AJ374" s="3"/>
    </row>
    <row r="375" spans="2:36" ht="14.4" x14ac:dyDescent="0.3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4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5"/>
      <c r="AH375" s="3"/>
      <c r="AI375" s="3"/>
      <c r="AJ375" s="3"/>
    </row>
    <row r="376" spans="2:36" ht="14.4" x14ac:dyDescent="0.3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4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5"/>
      <c r="AH376" s="3"/>
      <c r="AI376" s="3"/>
      <c r="AJ376" s="3"/>
    </row>
    <row r="377" spans="2:36" ht="14.4" x14ac:dyDescent="0.3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4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5"/>
      <c r="AH377" s="3"/>
      <c r="AI377" s="3"/>
      <c r="AJ377" s="3"/>
    </row>
    <row r="378" spans="2:36" ht="14.4" x14ac:dyDescent="0.3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4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5"/>
      <c r="AH378" s="3"/>
      <c r="AI378" s="3"/>
      <c r="AJ378" s="3"/>
    </row>
    <row r="379" spans="2:36" ht="14.4" x14ac:dyDescent="0.3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4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5"/>
      <c r="AH379" s="3"/>
      <c r="AI379" s="3"/>
      <c r="AJ379" s="3"/>
    </row>
    <row r="380" spans="2:36" ht="14.4" x14ac:dyDescent="0.3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4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5"/>
      <c r="AH380" s="3"/>
      <c r="AI380" s="3"/>
      <c r="AJ380" s="3"/>
    </row>
    <row r="381" spans="2:36" ht="14.4" x14ac:dyDescent="0.3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4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5"/>
      <c r="AH381" s="3"/>
      <c r="AI381" s="3"/>
      <c r="AJ381" s="3"/>
    </row>
    <row r="382" spans="2:36" ht="14.4" x14ac:dyDescent="0.3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4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5"/>
      <c r="AH382" s="3"/>
      <c r="AI382" s="3"/>
      <c r="AJ382" s="3"/>
    </row>
    <row r="383" spans="2:36" ht="14.4" x14ac:dyDescent="0.3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4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5"/>
      <c r="AH383" s="3"/>
      <c r="AI383" s="3"/>
      <c r="AJ383" s="3"/>
    </row>
    <row r="384" spans="2:36" ht="14.4" x14ac:dyDescent="0.3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4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5"/>
      <c r="AH384" s="3"/>
      <c r="AI384" s="3"/>
      <c r="AJ384" s="3"/>
    </row>
    <row r="385" spans="2:36" ht="14.4" x14ac:dyDescent="0.3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4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5"/>
      <c r="AH385" s="3"/>
      <c r="AI385" s="3"/>
      <c r="AJ385" s="3"/>
    </row>
    <row r="386" spans="2:36" ht="14.4" x14ac:dyDescent="0.3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4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5"/>
      <c r="AH386" s="3"/>
      <c r="AI386" s="3"/>
      <c r="AJ386" s="3"/>
    </row>
    <row r="387" spans="2:36" ht="14.4" x14ac:dyDescent="0.3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4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5"/>
      <c r="AH387" s="3"/>
      <c r="AI387" s="3"/>
      <c r="AJ387" s="3"/>
    </row>
    <row r="388" spans="2:36" ht="14.4" x14ac:dyDescent="0.3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4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5"/>
      <c r="AH388" s="3"/>
      <c r="AI388" s="3"/>
      <c r="AJ388" s="3"/>
    </row>
    <row r="389" spans="2:36" ht="14.4" x14ac:dyDescent="0.3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4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5"/>
      <c r="AH389" s="3"/>
      <c r="AI389" s="3"/>
      <c r="AJ389" s="3"/>
    </row>
    <row r="390" spans="2:36" ht="14.4" x14ac:dyDescent="0.3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4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5"/>
      <c r="AH390" s="3"/>
      <c r="AI390" s="3"/>
      <c r="AJ390" s="3"/>
    </row>
    <row r="391" spans="2:36" ht="14.4" x14ac:dyDescent="0.3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4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5"/>
      <c r="AH391" s="3"/>
      <c r="AI391" s="3"/>
      <c r="AJ391" s="3"/>
    </row>
    <row r="392" spans="2:36" ht="14.4" x14ac:dyDescent="0.3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4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5"/>
      <c r="AH392" s="3"/>
      <c r="AI392" s="3"/>
      <c r="AJ392" s="3"/>
    </row>
    <row r="393" spans="2:36" ht="14.4" x14ac:dyDescent="0.3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4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5"/>
      <c r="AH393" s="3"/>
      <c r="AI393" s="3"/>
      <c r="AJ393" s="3"/>
    </row>
    <row r="394" spans="2:36" ht="14.4" x14ac:dyDescent="0.3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4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5"/>
      <c r="AH394" s="3"/>
      <c r="AI394" s="3"/>
      <c r="AJ394" s="3"/>
    </row>
    <row r="395" spans="2:36" ht="14.4" x14ac:dyDescent="0.3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4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5"/>
      <c r="AH395" s="3"/>
      <c r="AI395" s="3"/>
      <c r="AJ395" s="3"/>
    </row>
    <row r="396" spans="2:36" ht="14.4" x14ac:dyDescent="0.3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4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5"/>
      <c r="AH396" s="3"/>
      <c r="AI396" s="3"/>
      <c r="AJ396" s="3"/>
    </row>
    <row r="397" spans="2:36" ht="14.4" x14ac:dyDescent="0.3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4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5"/>
      <c r="AH397" s="3"/>
      <c r="AI397" s="3"/>
      <c r="AJ397" s="3"/>
    </row>
    <row r="398" spans="2:36" ht="14.4" x14ac:dyDescent="0.3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4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5"/>
      <c r="AH398" s="3"/>
      <c r="AI398" s="3"/>
      <c r="AJ398" s="3"/>
    </row>
    <row r="399" spans="2:36" ht="14.4" x14ac:dyDescent="0.3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4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5"/>
      <c r="AH399" s="3"/>
      <c r="AI399" s="3"/>
      <c r="AJ399" s="3"/>
    </row>
    <row r="400" spans="2:36" ht="14.4" x14ac:dyDescent="0.3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4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5"/>
      <c r="AH400" s="3"/>
      <c r="AI400" s="3"/>
      <c r="AJ400" s="3"/>
    </row>
    <row r="401" spans="2:36" ht="14.4" x14ac:dyDescent="0.3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4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5"/>
      <c r="AH401" s="3"/>
      <c r="AI401" s="3"/>
      <c r="AJ401" s="3"/>
    </row>
    <row r="402" spans="2:36" ht="14.4" x14ac:dyDescent="0.3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4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5"/>
      <c r="AH402" s="3"/>
      <c r="AI402" s="3"/>
      <c r="AJ402" s="3"/>
    </row>
    <row r="403" spans="2:36" ht="14.4" x14ac:dyDescent="0.3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4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5"/>
      <c r="AH403" s="3"/>
      <c r="AI403" s="3"/>
      <c r="AJ403" s="3"/>
    </row>
    <row r="404" spans="2:36" ht="14.4" x14ac:dyDescent="0.3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4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5"/>
      <c r="AH404" s="3"/>
      <c r="AI404" s="3"/>
      <c r="AJ404" s="3"/>
    </row>
    <row r="405" spans="2:36" ht="14.4" x14ac:dyDescent="0.3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4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5"/>
      <c r="AH405" s="3"/>
      <c r="AI405" s="3"/>
      <c r="AJ405" s="3"/>
    </row>
    <row r="406" spans="2:36" ht="14.4" x14ac:dyDescent="0.3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4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5"/>
      <c r="AH406" s="3"/>
      <c r="AI406" s="3"/>
      <c r="AJ406" s="3"/>
    </row>
    <row r="407" spans="2:36" ht="14.4" x14ac:dyDescent="0.3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4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5"/>
      <c r="AH407" s="3"/>
      <c r="AI407" s="3"/>
      <c r="AJ407" s="3"/>
    </row>
    <row r="408" spans="2:36" ht="14.4" x14ac:dyDescent="0.3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4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5"/>
      <c r="AH408" s="3"/>
      <c r="AI408" s="3"/>
      <c r="AJ408" s="3"/>
    </row>
    <row r="409" spans="2:36" ht="14.4" x14ac:dyDescent="0.3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4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5"/>
      <c r="AH409" s="3"/>
      <c r="AI409" s="3"/>
      <c r="AJ409" s="3"/>
    </row>
    <row r="410" spans="2:36" ht="14.4" x14ac:dyDescent="0.3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4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5"/>
      <c r="AH410" s="3"/>
      <c r="AI410" s="3"/>
      <c r="AJ410" s="3"/>
    </row>
    <row r="411" spans="2:36" ht="14.4" x14ac:dyDescent="0.3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4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5"/>
      <c r="AH411" s="3"/>
      <c r="AI411" s="3"/>
      <c r="AJ411" s="3"/>
    </row>
    <row r="412" spans="2:36" ht="14.4" x14ac:dyDescent="0.3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4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5"/>
      <c r="AH412" s="3"/>
      <c r="AI412" s="3"/>
      <c r="AJ412" s="3"/>
    </row>
    <row r="413" spans="2:36" ht="14.4" x14ac:dyDescent="0.3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4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5"/>
      <c r="AH413" s="3"/>
      <c r="AI413" s="3"/>
      <c r="AJ413" s="3"/>
    </row>
    <row r="414" spans="2:36" ht="14.4" x14ac:dyDescent="0.3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4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5"/>
      <c r="AH414" s="3"/>
      <c r="AI414" s="3"/>
      <c r="AJ414" s="3"/>
    </row>
    <row r="415" spans="2:36" ht="14.4" x14ac:dyDescent="0.3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4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5"/>
      <c r="AH415" s="3"/>
      <c r="AI415" s="3"/>
      <c r="AJ415" s="3"/>
    </row>
    <row r="416" spans="2:36" ht="14.4" x14ac:dyDescent="0.3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4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5"/>
      <c r="AH416" s="3"/>
      <c r="AI416" s="3"/>
      <c r="AJ416" s="3"/>
    </row>
    <row r="417" spans="2:36" ht="14.4" x14ac:dyDescent="0.3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4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5"/>
      <c r="AH417" s="3"/>
      <c r="AI417" s="3"/>
      <c r="AJ417" s="3"/>
    </row>
    <row r="418" spans="2:36" ht="14.4" x14ac:dyDescent="0.3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4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5"/>
      <c r="AH418" s="3"/>
      <c r="AI418" s="3"/>
      <c r="AJ418" s="3"/>
    </row>
    <row r="419" spans="2:36" ht="14.4" x14ac:dyDescent="0.3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4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5"/>
      <c r="AH419" s="3"/>
      <c r="AI419" s="3"/>
      <c r="AJ419" s="3"/>
    </row>
    <row r="420" spans="2:36" ht="14.4" x14ac:dyDescent="0.3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4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5"/>
      <c r="AH420" s="3"/>
      <c r="AI420" s="3"/>
      <c r="AJ420" s="3"/>
    </row>
    <row r="421" spans="2:36" ht="14.4" x14ac:dyDescent="0.3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4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5"/>
      <c r="AH421" s="3"/>
      <c r="AI421" s="3"/>
      <c r="AJ421" s="3"/>
    </row>
    <row r="422" spans="2:36" ht="14.4" x14ac:dyDescent="0.3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4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5"/>
      <c r="AH422" s="3"/>
      <c r="AI422" s="3"/>
      <c r="AJ422" s="3"/>
    </row>
    <row r="423" spans="2:36" ht="14.4" x14ac:dyDescent="0.3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4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5"/>
      <c r="AH423" s="3"/>
      <c r="AI423" s="3"/>
      <c r="AJ423" s="3"/>
    </row>
    <row r="424" spans="2:36" ht="14.4" x14ac:dyDescent="0.3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4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5"/>
      <c r="AH424" s="3"/>
      <c r="AI424" s="3"/>
      <c r="AJ424" s="3"/>
    </row>
    <row r="425" spans="2:36" ht="14.4" x14ac:dyDescent="0.3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4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5"/>
      <c r="AH425" s="3"/>
      <c r="AI425" s="3"/>
      <c r="AJ425" s="3"/>
    </row>
    <row r="426" spans="2:36" ht="14.4" x14ac:dyDescent="0.3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4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5"/>
      <c r="AH426" s="3"/>
      <c r="AI426" s="3"/>
      <c r="AJ426" s="3"/>
    </row>
    <row r="427" spans="2:36" ht="14.4" x14ac:dyDescent="0.3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4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5"/>
      <c r="AH427" s="3"/>
      <c r="AI427" s="3"/>
      <c r="AJ427" s="3"/>
    </row>
    <row r="428" spans="2:36" ht="14.4" x14ac:dyDescent="0.3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4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5"/>
      <c r="AH428" s="3"/>
      <c r="AI428" s="3"/>
      <c r="AJ428" s="3"/>
    </row>
    <row r="429" spans="2:36" ht="14.4" x14ac:dyDescent="0.3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4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5"/>
      <c r="AH429" s="3"/>
      <c r="AI429" s="3"/>
      <c r="AJ429" s="3"/>
    </row>
    <row r="430" spans="2:36" ht="14.4" x14ac:dyDescent="0.3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4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5"/>
      <c r="AH430" s="3"/>
      <c r="AI430" s="3"/>
      <c r="AJ430" s="3"/>
    </row>
    <row r="431" spans="2:36" ht="14.4" x14ac:dyDescent="0.3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4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5"/>
      <c r="AH431" s="3"/>
      <c r="AI431" s="3"/>
      <c r="AJ431" s="3"/>
    </row>
    <row r="432" spans="2:36" ht="14.4" x14ac:dyDescent="0.3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4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5"/>
      <c r="AH432" s="3"/>
      <c r="AI432" s="3"/>
      <c r="AJ432" s="3"/>
    </row>
    <row r="433" spans="2:36" ht="14.4" x14ac:dyDescent="0.3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4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5"/>
      <c r="AH433" s="3"/>
      <c r="AI433" s="3"/>
      <c r="AJ433" s="3"/>
    </row>
    <row r="434" spans="2:36" ht="14.4" x14ac:dyDescent="0.3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4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5"/>
      <c r="AH434" s="3"/>
      <c r="AI434" s="3"/>
      <c r="AJ434" s="3"/>
    </row>
    <row r="435" spans="2:36" ht="14.4" x14ac:dyDescent="0.3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4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5"/>
      <c r="AH435" s="3"/>
      <c r="AI435" s="3"/>
      <c r="AJ435" s="3"/>
    </row>
    <row r="436" spans="2:36" ht="14.4" x14ac:dyDescent="0.3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4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5"/>
      <c r="AH436" s="3"/>
      <c r="AI436" s="3"/>
      <c r="AJ436" s="3"/>
    </row>
    <row r="437" spans="2:36" ht="14.4" x14ac:dyDescent="0.3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4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5"/>
      <c r="AH437" s="3"/>
      <c r="AI437" s="3"/>
      <c r="AJ437" s="3"/>
    </row>
    <row r="438" spans="2:36" ht="14.4" x14ac:dyDescent="0.3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4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5"/>
      <c r="AH438" s="3"/>
      <c r="AI438" s="3"/>
      <c r="AJ438" s="3"/>
    </row>
    <row r="439" spans="2:36" ht="14.4" x14ac:dyDescent="0.3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4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5"/>
      <c r="AH439" s="3"/>
      <c r="AI439" s="3"/>
      <c r="AJ439" s="3"/>
    </row>
    <row r="440" spans="2:36" ht="14.4" x14ac:dyDescent="0.3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4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5"/>
      <c r="AH440" s="3"/>
      <c r="AI440" s="3"/>
      <c r="AJ440" s="3"/>
    </row>
    <row r="441" spans="2:36" ht="14.4" x14ac:dyDescent="0.3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4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5"/>
      <c r="AH441" s="3"/>
      <c r="AI441" s="3"/>
      <c r="AJ441" s="3"/>
    </row>
    <row r="442" spans="2:36" ht="14.4" x14ac:dyDescent="0.3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4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5"/>
      <c r="AH442" s="3"/>
      <c r="AI442" s="3"/>
      <c r="AJ442" s="3"/>
    </row>
    <row r="443" spans="2:36" ht="14.4" x14ac:dyDescent="0.3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4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5"/>
      <c r="AH443" s="3"/>
      <c r="AI443" s="3"/>
      <c r="AJ443" s="3"/>
    </row>
    <row r="444" spans="2:36" ht="14.4" x14ac:dyDescent="0.3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4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5"/>
      <c r="AH444" s="3"/>
      <c r="AI444" s="3"/>
      <c r="AJ444" s="3"/>
    </row>
    <row r="445" spans="2:36" ht="14.4" x14ac:dyDescent="0.3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4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5"/>
      <c r="AH445" s="3"/>
      <c r="AI445" s="3"/>
      <c r="AJ445" s="3"/>
    </row>
    <row r="446" spans="2:36" ht="14.4" x14ac:dyDescent="0.3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4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5"/>
      <c r="AH446" s="3"/>
      <c r="AI446" s="3"/>
      <c r="AJ446" s="3"/>
    </row>
    <row r="447" spans="2:36" ht="14.4" x14ac:dyDescent="0.3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4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5"/>
      <c r="AH447" s="3"/>
      <c r="AI447" s="3"/>
      <c r="AJ447" s="3"/>
    </row>
    <row r="448" spans="2:36" ht="14.4" x14ac:dyDescent="0.3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4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5"/>
      <c r="AH448" s="3"/>
      <c r="AI448" s="3"/>
      <c r="AJ448" s="3"/>
    </row>
    <row r="449" spans="2:36" ht="14.4" x14ac:dyDescent="0.3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4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5"/>
      <c r="AH449" s="3"/>
      <c r="AI449" s="3"/>
      <c r="AJ449" s="3"/>
    </row>
    <row r="450" spans="2:36" ht="14.4" x14ac:dyDescent="0.3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4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5"/>
      <c r="AH450" s="3"/>
      <c r="AI450" s="3"/>
      <c r="AJ450" s="3"/>
    </row>
    <row r="451" spans="2:36" ht="14.4" x14ac:dyDescent="0.3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4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5"/>
      <c r="AH451" s="3"/>
      <c r="AI451" s="3"/>
      <c r="AJ451" s="3"/>
    </row>
    <row r="452" spans="2:36" ht="14.4" x14ac:dyDescent="0.3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4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5"/>
      <c r="AH452" s="3"/>
      <c r="AI452" s="3"/>
      <c r="AJ452" s="3"/>
    </row>
    <row r="453" spans="2:36" ht="14.4" x14ac:dyDescent="0.3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4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5"/>
      <c r="AH453" s="3"/>
      <c r="AI453" s="3"/>
      <c r="AJ453" s="3"/>
    </row>
    <row r="454" spans="2:36" ht="14.4" x14ac:dyDescent="0.3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4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5"/>
      <c r="AH454" s="3"/>
      <c r="AI454" s="3"/>
      <c r="AJ454" s="3"/>
    </row>
    <row r="455" spans="2:36" ht="14.4" x14ac:dyDescent="0.3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4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5"/>
      <c r="AH455" s="3"/>
      <c r="AI455" s="3"/>
      <c r="AJ455" s="3"/>
    </row>
    <row r="456" spans="2:36" ht="14.4" x14ac:dyDescent="0.3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4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5"/>
      <c r="AH456" s="3"/>
      <c r="AI456" s="3"/>
      <c r="AJ456" s="3"/>
    </row>
    <row r="457" spans="2:36" ht="14.4" x14ac:dyDescent="0.3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4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5"/>
      <c r="AH457" s="3"/>
      <c r="AI457" s="3"/>
      <c r="AJ457" s="3"/>
    </row>
    <row r="458" spans="2:36" ht="14.4" x14ac:dyDescent="0.3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4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5"/>
      <c r="AH458" s="3"/>
      <c r="AI458" s="3"/>
      <c r="AJ458" s="3"/>
    </row>
    <row r="459" spans="2:36" ht="14.4" x14ac:dyDescent="0.3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4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5"/>
      <c r="AH459" s="3"/>
      <c r="AI459" s="3"/>
      <c r="AJ459" s="3"/>
    </row>
    <row r="460" spans="2:36" ht="14.4" x14ac:dyDescent="0.3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4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5"/>
      <c r="AH460" s="3"/>
      <c r="AI460" s="3"/>
      <c r="AJ460" s="3"/>
    </row>
    <row r="461" spans="2:36" ht="14.4" x14ac:dyDescent="0.3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4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5"/>
      <c r="AH461" s="3"/>
      <c r="AI461" s="3"/>
      <c r="AJ461" s="3"/>
    </row>
    <row r="462" spans="2:36" ht="14.4" x14ac:dyDescent="0.3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4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5"/>
      <c r="AH462" s="3"/>
      <c r="AI462" s="3"/>
      <c r="AJ462" s="3"/>
    </row>
    <row r="463" spans="2:36" ht="14.4" x14ac:dyDescent="0.3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4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5"/>
      <c r="AH463" s="3"/>
      <c r="AI463" s="3"/>
      <c r="AJ463" s="3"/>
    </row>
    <row r="464" spans="2:36" ht="14.4" x14ac:dyDescent="0.3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4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5"/>
      <c r="AH464" s="3"/>
      <c r="AI464" s="3"/>
      <c r="AJ464" s="3"/>
    </row>
    <row r="465" spans="2:36" ht="14.4" x14ac:dyDescent="0.3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4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5"/>
      <c r="AH465" s="3"/>
      <c r="AI465" s="3"/>
      <c r="AJ465" s="3"/>
    </row>
    <row r="466" spans="2:36" ht="14.4" x14ac:dyDescent="0.3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4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5"/>
      <c r="AH466" s="3"/>
      <c r="AI466" s="3"/>
      <c r="AJ466" s="3"/>
    </row>
    <row r="467" spans="2:36" ht="14.4" x14ac:dyDescent="0.3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4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5"/>
      <c r="AH467" s="3"/>
      <c r="AI467" s="3"/>
      <c r="AJ467" s="3"/>
    </row>
    <row r="468" spans="2:36" ht="14.4" x14ac:dyDescent="0.3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4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5"/>
      <c r="AH468" s="3"/>
      <c r="AI468" s="3"/>
      <c r="AJ468" s="3"/>
    </row>
    <row r="469" spans="2:36" ht="14.4" x14ac:dyDescent="0.3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4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5"/>
      <c r="AH469" s="3"/>
      <c r="AI469" s="3"/>
      <c r="AJ469" s="3"/>
    </row>
    <row r="470" spans="2:36" ht="14.4" x14ac:dyDescent="0.3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4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5"/>
      <c r="AH470" s="3"/>
      <c r="AI470" s="3"/>
      <c r="AJ470" s="3"/>
    </row>
    <row r="471" spans="2:36" ht="14.4" x14ac:dyDescent="0.3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4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5"/>
      <c r="AH471" s="3"/>
      <c r="AI471" s="3"/>
      <c r="AJ471" s="3"/>
    </row>
    <row r="472" spans="2:36" ht="14.4" x14ac:dyDescent="0.3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4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5"/>
      <c r="AH472" s="3"/>
      <c r="AI472" s="3"/>
      <c r="AJ472" s="3"/>
    </row>
    <row r="473" spans="2:36" ht="14.4" x14ac:dyDescent="0.3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4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5"/>
      <c r="AH473" s="3"/>
      <c r="AI473" s="3"/>
      <c r="AJ473" s="3"/>
    </row>
    <row r="474" spans="2:36" ht="14.4" x14ac:dyDescent="0.3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4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5"/>
      <c r="AH474" s="3"/>
      <c r="AI474" s="3"/>
      <c r="AJ474" s="3"/>
    </row>
    <row r="475" spans="2:36" ht="14.4" x14ac:dyDescent="0.3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4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5"/>
      <c r="AH475" s="3"/>
      <c r="AI475" s="3"/>
      <c r="AJ475" s="3"/>
    </row>
    <row r="476" spans="2:36" ht="14.4" x14ac:dyDescent="0.3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4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5"/>
      <c r="AH476" s="3"/>
      <c r="AI476" s="3"/>
      <c r="AJ476" s="3"/>
    </row>
    <row r="477" spans="2:36" ht="14.4" x14ac:dyDescent="0.3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4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5"/>
      <c r="AH477" s="3"/>
      <c r="AI477" s="3"/>
      <c r="AJ477" s="3"/>
    </row>
    <row r="478" spans="2:36" ht="14.4" x14ac:dyDescent="0.3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4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5"/>
      <c r="AH478" s="3"/>
      <c r="AI478" s="3"/>
      <c r="AJ478" s="3"/>
    </row>
    <row r="479" spans="2:36" ht="14.4" x14ac:dyDescent="0.3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4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5"/>
      <c r="AH479" s="3"/>
      <c r="AI479" s="3"/>
      <c r="AJ479" s="3"/>
    </row>
    <row r="480" spans="2:36" ht="14.4" x14ac:dyDescent="0.3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4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5"/>
      <c r="AH480" s="3"/>
      <c r="AI480" s="3"/>
      <c r="AJ480" s="3"/>
    </row>
    <row r="481" spans="2:36" ht="14.4" x14ac:dyDescent="0.3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4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5"/>
      <c r="AH481" s="3"/>
      <c r="AI481" s="3"/>
      <c r="AJ481" s="3"/>
    </row>
    <row r="482" spans="2:36" ht="14.4" x14ac:dyDescent="0.3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4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5"/>
      <c r="AH482" s="3"/>
      <c r="AI482" s="3"/>
      <c r="AJ482" s="3"/>
    </row>
    <row r="483" spans="2:36" ht="14.4" x14ac:dyDescent="0.3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4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5"/>
      <c r="AH483" s="3"/>
      <c r="AI483" s="3"/>
      <c r="AJ483" s="3"/>
    </row>
    <row r="484" spans="2:36" ht="14.4" x14ac:dyDescent="0.3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4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5"/>
      <c r="AH484" s="3"/>
      <c r="AI484" s="3"/>
      <c r="AJ484" s="3"/>
    </row>
    <row r="485" spans="2:36" ht="14.4" x14ac:dyDescent="0.3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4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5"/>
      <c r="AH485" s="3"/>
      <c r="AI485" s="3"/>
      <c r="AJ485" s="3"/>
    </row>
    <row r="486" spans="2:36" ht="14.4" x14ac:dyDescent="0.3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4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5"/>
      <c r="AH486" s="3"/>
      <c r="AI486" s="3"/>
      <c r="AJ486" s="3"/>
    </row>
    <row r="487" spans="2:36" ht="14.4" x14ac:dyDescent="0.3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4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5"/>
      <c r="AH487" s="3"/>
      <c r="AI487" s="3"/>
      <c r="AJ487" s="3"/>
    </row>
    <row r="488" spans="2:36" ht="14.4" x14ac:dyDescent="0.3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4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5"/>
      <c r="AH488" s="3"/>
      <c r="AI488" s="3"/>
      <c r="AJ488" s="3"/>
    </row>
    <row r="489" spans="2:36" ht="14.4" x14ac:dyDescent="0.3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4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5"/>
      <c r="AH489" s="3"/>
      <c r="AI489" s="3"/>
      <c r="AJ489" s="3"/>
    </row>
    <row r="490" spans="2:36" ht="14.4" x14ac:dyDescent="0.3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4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5"/>
      <c r="AH490" s="3"/>
      <c r="AI490" s="3"/>
      <c r="AJ490" s="3"/>
    </row>
    <row r="491" spans="2:36" ht="14.4" x14ac:dyDescent="0.3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4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5"/>
      <c r="AH491" s="3"/>
      <c r="AI491" s="3"/>
      <c r="AJ491" s="3"/>
    </row>
    <row r="492" spans="2:36" ht="14.4" x14ac:dyDescent="0.3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4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5"/>
      <c r="AH492" s="3"/>
      <c r="AI492" s="3"/>
      <c r="AJ492" s="3"/>
    </row>
    <row r="493" spans="2:36" ht="14.4" x14ac:dyDescent="0.3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4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5"/>
      <c r="AH493" s="3"/>
      <c r="AI493" s="3"/>
      <c r="AJ493" s="3"/>
    </row>
    <row r="494" spans="2:36" ht="14.4" x14ac:dyDescent="0.3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4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5"/>
      <c r="AH494" s="3"/>
      <c r="AI494" s="3"/>
      <c r="AJ494" s="3"/>
    </row>
    <row r="495" spans="2:36" ht="14.4" x14ac:dyDescent="0.3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4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5"/>
      <c r="AH495" s="3"/>
      <c r="AI495" s="3"/>
      <c r="AJ495" s="3"/>
    </row>
    <row r="496" spans="2:36" ht="14.4" x14ac:dyDescent="0.3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4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5"/>
      <c r="AH496" s="3"/>
      <c r="AI496" s="3"/>
      <c r="AJ496" s="3"/>
    </row>
    <row r="497" spans="2:36" ht="14.4" x14ac:dyDescent="0.3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4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5"/>
      <c r="AH497" s="3"/>
      <c r="AI497" s="3"/>
      <c r="AJ497" s="3"/>
    </row>
    <row r="498" spans="2:36" ht="14.4" x14ac:dyDescent="0.3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4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5"/>
      <c r="AH498" s="3"/>
      <c r="AI498" s="3"/>
      <c r="AJ498" s="3"/>
    </row>
    <row r="499" spans="2:36" ht="14.4" x14ac:dyDescent="0.3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4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5"/>
      <c r="AH499" s="3"/>
      <c r="AI499" s="3"/>
      <c r="AJ499" s="3"/>
    </row>
    <row r="500" spans="2:36" ht="14.4" x14ac:dyDescent="0.3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4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5"/>
      <c r="AH500" s="3"/>
      <c r="AI500" s="3"/>
      <c r="AJ500" s="3"/>
    </row>
    <row r="501" spans="2:36" ht="14.4" x14ac:dyDescent="0.3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4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5"/>
      <c r="AH501" s="3"/>
      <c r="AI501" s="3"/>
      <c r="AJ501" s="3"/>
    </row>
    <row r="502" spans="2:36" ht="14.4" x14ac:dyDescent="0.3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4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5"/>
      <c r="AH502" s="3"/>
      <c r="AI502" s="3"/>
      <c r="AJ502" s="3"/>
    </row>
    <row r="503" spans="2:36" ht="14.4" x14ac:dyDescent="0.3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4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5"/>
      <c r="AH503" s="3"/>
      <c r="AI503" s="3"/>
      <c r="AJ503" s="3"/>
    </row>
    <row r="504" spans="2:36" ht="14.4" x14ac:dyDescent="0.3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4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5"/>
      <c r="AH504" s="3"/>
      <c r="AI504" s="3"/>
      <c r="AJ504" s="3"/>
    </row>
    <row r="505" spans="2:36" ht="14.4" x14ac:dyDescent="0.3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4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5"/>
      <c r="AH505" s="3"/>
      <c r="AI505" s="3"/>
      <c r="AJ505" s="3"/>
    </row>
    <row r="506" spans="2:36" ht="14.4" x14ac:dyDescent="0.3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4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5"/>
      <c r="AH506" s="3"/>
      <c r="AI506" s="3"/>
      <c r="AJ506" s="3"/>
    </row>
    <row r="507" spans="2:36" ht="14.4" x14ac:dyDescent="0.3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4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5"/>
      <c r="AH507" s="3"/>
      <c r="AI507" s="3"/>
      <c r="AJ507" s="3"/>
    </row>
    <row r="508" spans="2:36" ht="14.4" x14ac:dyDescent="0.3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4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5"/>
      <c r="AH508" s="3"/>
      <c r="AI508" s="3"/>
      <c r="AJ508" s="3"/>
    </row>
    <row r="509" spans="2:36" ht="14.4" x14ac:dyDescent="0.3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4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5"/>
      <c r="AH509" s="3"/>
      <c r="AI509" s="3"/>
      <c r="AJ509" s="3"/>
    </row>
    <row r="510" spans="2:36" ht="14.4" x14ac:dyDescent="0.3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4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5"/>
      <c r="AH510" s="3"/>
      <c r="AI510" s="3"/>
      <c r="AJ510" s="3"/>
    </row>
    <row r="511" spans="2:36" ht="14.4" x14ac:dyDescent="0.3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4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5"/>
      <c r="AH511" s="3"/>
      <c r="AI511" s="3"/>
      <c r="AJ511" s="3"/>
    </row>
    <row r="512" spans="2:36" ht="14.4" x14ac:dyDescent="0.3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4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5"/>
      <c r="AH512" s="3"/>
      <c r="AI512" s="3"/>
      <c r="AJ512" s="3"/>
    </row>
    <row r="513" spans="2:36" ht="14.4" x14ac:dyDescent="0.3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4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5"/>
      <c r="AH513" s="3"/>
      <c r="AI513" s="3"/>
      <c r="AJ513" s="3"/>
    </row>
    <row r="514" spans="2:36" ht="14.4" x14ac:dyDescent="0.3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4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5"/>
      <c r="AH514" s="3"/>
      <c r="AI514" s="3"/>
      <c r="AJ514" s="3"/>
    </row>
    <row r="515" spans="2:36" ht="14.4" x14ac:dyDescent="0.3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4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5"/>
      <c r="AH515" s="3"/>
      <c r="AI515" s="3"/>
      <c r="AJ515" s="3"/>
    </row>
    <row r="516" spans="2:36" ht="14.4" x14ac:dyDescent="0.3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4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5"/>
      <c r="AH516" s="3"/>
      <c r="AI516" s="3"/>
      <c r="AJ516" s="3"/>
    </row>
    <row r="517" spans="2:36" ht="14.4" x14ac:dyDescent="0.3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4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5"/>
      <c r="AH517" s="3"/>
      <c r="AI517" s="3"/>
      <c r="AJ517" s="3"/>
    </row>
    <row r="518" spans="2:36" ht="14.4" x14ac:dyDescent="0.3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4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5"/>
      <c r="AH518" s="3"/>
      <c r="AI518" s="3"/>
      <c r="AJ518" s="3"/>
    </row>
    <row r="519" spans="2:36" ht="14.4" x14ac:dyDescent="0.3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4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5"/>
      <c r="AH519" s="3"/>
      <c r="AI519" s="3"/>
      <c r="AJ519" s="3"/>
    </row>
    <row r="520" spans="2:36" ht="14.4" x14ac:dyDescent="0.3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4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5"/>
      <c r="AH520" s="3"/>
      <c r="AI520" s="3"/>
      <c r="AJ520" s="3"/>
    </row>
    <row r="521" spans="2:36" ht="14.4" x14ac:dyDescent="0.3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4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5"/>
      <c r="AH521" s="3"/>
      <c r="AI521" s="3"/>
      <c r="AJ521" s="3"/>
    </row>
    <row r="522" spans="2:36" ht="14.4" x14ac:dyDescent="0.3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4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5"/>
      <c r="AH522" s="3"/>
      <c r="AI522" s="3"/>
      <c r="AJ522" s="3"/>
    </row>
    <row r="523" spans="2:36" ht="14.4" x14ac:dyDescent="0.3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4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5"/>
      <c r="AH523" s="3"/>
      <c r="AI523" s="3"/>
      <c r="AJ523" s="3"/>
    </row>
    <row r="524" spans="2:36" ht="14.4" x14ac:dyDescent="0.3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4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5"/>
      <c r="AH524" s="3"/>
      <c r="AI524" s="3"/>
      <c r="AJ524" s="3"/>
    </row>
    <row r="525" spans="2:36" ht="14.4" x14ac:dyDescent="0.3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4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5"/>
      <c r="AH525" s="3"/>
      <c r="AI525" s="3"/>
      <c r="AJ525" s="3"/>
    </row>
    <row r="526" spans="2:36" ht="14.4" x14ac:dyDescent="0.3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4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5"/>
      <c r="AH526" s="3"/>
      <c r="AI526" s="3"/>
      <c r="AJ526" s="3"/>
    </row>
    <row r="527" spans="2:36" ht="14.4" x14ac:dyDescent="0.3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4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5"/>
      <c r="AH527" s="3"/>
      <c r="AI527" s="3"/>
      <c r="AJ527" s="3"/>
    </row>
    <row r="528" spans="2:36" ht="14.4" x14ac:dyDescent="0.3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4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5"/>
      <c r="AH528" s="3"/>
      <c r="AI528" s="3"/>
      <c r="AJ528" s="3"/>
    </row>
    <row r="529" spans="2:36" ht="14.4" x14ac:dyDescent="0.3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4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5"/>
      <c r="AH529" s="3"/>
      <c r="AI529" s="3"/>
      <c r="AJ529" s="3"/>
    </row>
    <row r="530" spans="2:36" ht="14.4" x14ac:dyDescent="0.3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4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5"/>
      <c r="AH530" s="3"/>
      <c r="AI530" s="3"/>
      <c r="AJ530" s="3"/>
    </row>
    <row r="531" spans="2:36" ht="14.4" x14ac:dyDescent="0.3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4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5"/>
      <c r="AH531" s="3"/>
      <c r="AI531" s="3"/>
      <c r="AJ531" s="3"/>
    </row>
    <row r="532" spans="2:36" ht="14.4" x14ac:dyDescent="0.3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4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5"/>
      <c r="AH532" s="3"/>
      <c r="AI532" s="3"/>
      <c r="AJ532" s="3"/>
    </row>
    <row r="533" spans="2:36" ht="14.4" x14ac:dyDescent="0.3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4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5"/>
      <c r="AH533" s="3"/>
      <c r="AI533" s="3"/>
      <c r="AJ533" s="3"/>
    </row>
    <row r="534" spans="2:36" ht="14.4" x14ac:dyDescent="0.3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4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5"/>
      <c r="AH534" s="3"/>
      <c r="AI534" s="3"/>
      <c r="AJ534" s="3"/>
    </row>
    <row r="535" spans="2:36" ht="14.4" x14ac:dyDescent="0.3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4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5"/>
      <c r="AH535" s="3"/>
      <c r="AI535" s="3"/>
      <c r="AJ535" s="3"/>
    </row>
    <row r="536" spans="2:36" ht="14.4" x14ac:dyDescent="0.3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4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5"/>
      <c r="AH536" s="3"/>
      <c r="AI536" s="3"/>
      <c r="AJ536" s="3"/>
    </row>
    <row r="537" spans="2:36" ht="14.4" x14ac:dyDescent="0.3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4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5"/>
      <c r="AH537" s="3"/>
      <c r="AI537" s="3"/>
      <c r="AJ537" s="3"/>
    </row>
    <row r="538" spans="2:36" ht="14.4" x14ac:dyDescent="0.3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4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5"/>
      <c r="AH538" s="3"/>
      <c r="AI538" s="3"/>
      <c r="AJ538" s="3"/>
    </row>
    <row r="539" spans="2:36" ht="14.4" x14ac:dyDescent="0.3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4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5"/>
      <c r="AH539" s="3"/>
      <c r="AI539" s="3"/>
      <c r="AJ539" s="3"/>
    </row>
    <row r="540" spans="2:36" ht="14.4" x14ac:dyDescent="0.3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4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5"/>
      <c r="AH540" s="3"/>
      <c r="AI540" s="3"/>
      <c r="AJ540" s="3"/>
    </row>
    <row r="541" spans="2:36" ht="14.4" x14ac:dyDescent="0.3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4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5"/>
      <c r="AH541" s="3"/>
      <c r="AI541" s="3"/>
      <c r="AJ541" s="3"/>
    </row>
    <row r="542" spans="2:36" ht="14.4" x14ac:dyDescent="0.3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4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5"/>
      <c r="AH542" s="3"/>
      <c r="AI542" s="3"/>
      <c r="AJ542" s="3"/>
    </row>
    <row r="543" spans="2:36" ht="14.4" x14ac:dyDescent="0.3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4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5"/>
      <c r="AH543" s="3"/>
      <c r="AI543" s="3"/>
      <c r="AJ543" s="3"/>
    </row>
    <row r="544" spans="2:36" ht="14.4" x14ac:dyDescent="0.3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4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5"/>
      <c r="AH544" s="3"/>
      <c r="AI544" s="3"/>
      <c r="AJ544" s="3"/>
    </row>
    <row r="545" spans="2:36" ht="14.4" x14ac:dyDescent="0.3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4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5"/>
      <c r="AH545" s="3"/>
      <c r="AI545" s="3"/>
      <c r="AJ545" s="3"/>
    </row>
    <row r="546" spans="2:36" ht="14.4" x14ac:dyDescent="0.3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4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5"/>
      <c r="AH546" s="3"/>
      <c r="AI546" s="3"/>
      <c r="AJ546" s="3"/>
    </row>
    <row r="547" spans="2:36" ht="14.4" x14ac:dyDescent="0.3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4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5"/>
      <c r="AH547" s="3"/>
      <c r="AI547" s="3"/>
      <c r="AJ547" s="3"/>
    </row>
    <row r="548" spans="2:36" ht="14.4" x14ac:dyDescent="0.3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4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5"/>
      <c r="AH548" s="3"/>
      <c r="AI548" s="3"/>
      <c r="AJ548" s="3"/>
    </row>
    <row r="549" spans="2:36" ht="14.4" x14ac:dyDescent="0.3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4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5"/>
      <c r="AH549" s="3"/>
      <c r="AI549" s="3"/>
      <c r="AJ549" s="3"/>
    </row>
    <row r="550" spans="2:36" ht="14.4" x14ac:dyDescent="0.3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4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5"/>
      <c r="AH550" s="3"/>
      <c r="AI550" s="3"/>
      <c r="AJ550" s="3"/>
    </row>
    <row r="551" spans="2:36" ht="14.4" x14ac:dyDescent="0.3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4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5"/>
      <c r="AH551" s="3"/>
      <c r="AI551" s="3"/>
      <c r="AJ551" s="3"/>
    </row>
    <row r="552" spans="2:36" ht="14.4" x14ac:dyDescent="0.3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4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5"/>
      <c r="AH552" s="3"/>
      <c r="AI552" s="3"/>
      <c r="AJ552" s="3"/>
    </row>
    <row r="553" spans="2:36" ht="14.4" x14ac:dyDescent="0.3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4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5"/>
      <c r="AH553" s="3"/>
      <c r="AI553" s="3"/>
      <c r="AJ553" s="3"/>
    </row>
    <row r="554" spans="2:36" ht="14.4" x14ac:dyDescent="0.3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4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5"/>
      <c r="AH554" s="3"/>
      <c r="AI554" s="3"/>
      <c r="AJ554" s="3"/>
    </row>
    <row r="555" spans="2:36" ht="14.4" x14ac:dyDescent="0.3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4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5"/>
      <c r="AH555" s="3"/>
      <c r="AI555" s="3"/>
      <c r="AJ555" s="3"/>
    </row>
    <row r="556" spans="2:36" ht="14.4" x14ac:dyDescent="0.3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4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5"/>
      <c r="AH556" s="3"/>
      <c r="AI556" s="3"/>
      <c r="AJ556" s="3"/>
    </row>
    <row r="557" spans="2:36" ht="14.4" x14ac:dyDescent="0.3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4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5"/>
      <c r="AH557" s="3"/>
      <c r="AI557" s="3"/>
      <c r="AJ557" s="3"/>
    </row>
    <row r="558" spans="2:36" ht="14.4" x14ac:dyDescent="0.3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4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5"/>
      <c r="AH558" s="3"/>
      <c r="AI558" s="3"/>
      <c r="AJ558" s="3"/>
    </row>
    <row r="559" spans="2:36" ht="14.4" x14ac:dyDescent="0.3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4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5"/>
      <c r="AH559" s="3"/>
      <c r="AI559" s="3"/>
      <c r="AJ559" s="3"/>
    </row>
    <row r="560" spans="2:36" ht="14.4" x14ac:dyDescent="0.3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4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5"/>
      <c r="AH560" s="3"/>
      <c r="AI560" s="3"/>
      <c r="AJ560" s="3"/>
    </row>
    <row r="561" spans="2:36" ht="14.4" x14ac:dyDescent="0.3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4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5"/>
      <c r="AH561" s="3"/>
      <c r="AI561" s="3"/>
      <c r="AJ561" s="3"/>
    </row>
    <row r="562" spans="2:36" ht="14.4" x14ac:dyDescent="0.3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4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5"/>
      <c r="AH562" s="3"/>
      <c r="AI562" s="3"/>
      <c r="AJ562" s="3"/>
    </row>
    <row r="563" spans="2:36" ht="14.4" x14ac:dyDescent="0.3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4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5"/>
      <c r="AH563" s="3"/>
      <c r="AI563" s="3"/>
      <c r="AJ563" s="3"/>
    </row>
    <row r="564" spans="2:36" ht="14.4" x14ac:dyDescent="0.3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4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5"/>
      <c r="AH564" s="3"/>
      <c r="AI564" s="3"/>
      <c r="AJ564" s="3"/>
    </row>
    <row r="565" spans="2:36" ht="14.4" x14ac:dyDescent="0.3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4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5"/>
      <c r="AH565" s="3"/>
      <c r="AI565" s="3"/>
      <c r="AJ565" s="3"/>
    </row>
    <row r="566" spans="2:36" ht="14.4" x14ac:dyDescent="0.3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4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5"/>
      <c r="AH566" s="3"/>
      <c r="AI566" s="3"/>
      <c r="AJ566" s="3"/>
    </row>
    <row r="567" spans="2:36" ht="14.4" x14ac:dyDescent="0.3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4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5"/>
      <c r="AH567" s="3"/>
      <c r="AI567" s="3"/>
      <c r="AJ567" s="3"/>
    </row>
    <row r="568" spans="2:36" ht="14.4" x14ac:dyDescent="0.3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4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5"/>
      <c r="AH568" s="3"/>
      <c r="AI568" s="3"/>
      <c r="AJ568" s="3"/>
    </row>
    <row r="569" spans="2:36" ht="14.4" x14ac:dyDescent="0.3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4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5"/>
      <c r="AH569" s="3"/>
      <c r="AI569" s="3"/>
      <c r="AJ569" s="3"/>
    </row>
    <row r="570" spans="2:36" ht="14.4" x14ac:dyDescent="0.3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4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5"/>
      <c r="AH570" s="3"/>
      <c r="AI570" s="3"/>
      <c r="AJ570" s="3"/>
    </row>
    <row r="571" spans="2:36" ht="14.4" x14ac:dyDescent="0.3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4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5"/>
      <c r="AH571" s="3"/>
      <c r="AI571" s="3"/>
      <c r="AJ571" s="3"/>
    </row>
    <row r="572" spans="2:36" ht="14.4" x14ac:dyDescent="0.3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4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5"/>
      <c r="AH572" s="3"/>
      <c r="AI572" s="3"/>
      <c r="AJ572" s="3"/>
    </row>
    <row r="573" spans="2:36" ht="14.4" x14ac:dyDescent="0.3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4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5"/>
      <c r="AH573" s="3"/>
      <c r="AI573" s="3"/>
      <c r="AJ573" s="3"/>
    </row>
    <row r="574" spans="2:36" ht="14.4" x14ac:dyDescent="0.3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4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5"/>
      <c r="AH574" s="3"/>
      <c r="AI574" s="3"/>
      <c r="AJ574" s="3"/>
    </row>
    <row r="575" spans="2:36" ht="14.4" x14ac:dyDescent="0.3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4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5"/>
      <c r="AH575" s="3"/>
      <c r="AI575" s="3"/>
      <c r="AJ575" s="3"/>
    </row>
    <row r="576" spans="2:36" ht="14.4" x14ac:dyDescent="0.3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4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5"/>
      <c r="AH576" s="3"/>
      <c r="AI576" s="3"/>
      <c r="AJ576" s="3"/>
    </row>
    <row r="577" spans="2:36" ht="14.4" x14ac:dyDescent="0.3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4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5"/>
      <c r="AH577" s="3"/>
      <c r="AI577" s="3"/>
      <c r="AJ577" s="3"/>
    </row>
    <row r="578" spans="2:36" ht="14.4" x14ac:dyDescent="0.3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4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5"/>
      <c r="AH578" s="3"/>
      <c r="AI578" s="3"/>
      <c r="AJ578" s="3"/>
    </row>
    <row r="579" spans="2:36" ht="14.4" x14ac:dyDescent="0.3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4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5"/>
      <c r="AH579" s="3"/>
      <c r="AI579" s="3"/>
      <c r="AJ579" s="3"/>
    </row>
    <row r="580" spans="2:36" ht="14.4" x14ac:dyDescent="0.3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4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5"/>
      <c r="AH580" s="3"/>
      <c r="AI580" s="3"/>
      <c r="AJ580" s="3"/>
    </row>
    <row r="581" spans="2:36" ht="14.4" x14ac:dyDescent="0.3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4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5"/>
      <c r="AH581" s="3"/>
      <c r="AI581" s="3"/>
      <c r="AJ581" s="3"/>
    </row>
    <row r="582" spans="2:36" ht="14.4" x14ac:dyDescent="0.3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4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5"/>
      <c r="AH582" s="3"/>
      <c r="AI582" s="3"/>
      <c r="AJ582" s="3"/>
    </row>
    <row r="583" spans="2:36" ht="14.4" x14ac:dyDescent="0.3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4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5"/>
      <c r="AH583" s="3"/>
      <c r="AI583" s="3"/>
      <c r="AJ583" s="3"/>
    </row>
    <row r="584" spans="2:36" ht="14.4" x14ac:dyDescent="0.3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4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5"/>
      <c r="AH584" s="3"/>
      <c r="AI584" s="3"/>
      <c r="AJ584" s="3"/>
    </row>
    <row r="585" spans="2:36" ht="14.4" x14ac:dyDescent="0.3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4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5"/>
      <c r="AH585" s="3"/>
      <c r="AI585" s="3"/>
      <c r="AJ585" s="3"/>
    </row>
    <row r="586" spans="2:36" ht="14.4" x14ac:dyDescent="0.3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4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5"/>
      <c r="AH586" s="3"/>
      <c r="AI586" s="3"/>
      <c r="AJ586" s="3"/>
    </row>
    <row r="587" spans="2:36" ht="14.4" x14ac:dyDescent="0.3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4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5"/>
      <c r="AH587" s="3"/>
      <c r="AI587" s="3"/>
      <c r="AJ587" s="3"/>
    </row>
    <row r="588" spans="2:36" ht="14.4" x14ac:dyDescent="0.3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4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5"/>
      <c r="AH588" s="3"/>
      <c r="AI588" s="3"/>
      <c r="AJ588" s="3"/>
    </row>
    <row r="589" spans="2:36" ht="14.4" x14ac:dyDescent="0.3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4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5"/>
      <c r="AH589" s="3"/>
      <c r="AI589" s="3"/>
      <c r="AJ589" s="3"/>
    </row>
    <row r="590" spans="2:36" ht="14.4" x14ac:dyDescent="0.3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4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5"/>
      <c r="AH590" s="3"/>
      <c r="AI590" s="3"/>
      <c r="AJ590" s="3"/>
    </row>
    <row r="591" spans="2:36" ht="14.4" x14ac:dyDescent="0.3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4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5"/>
      <c r="AH591" s="3"/>
      <c r="AI591" s="3"/>
      <c r="AJ591" s="3"/>
    </row>
    <row r="592" spans="2:36" ht="14.4" x14ac:dyDescent="0.3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4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5"/>
      <c r="AH592" s="3"/>
      <c r="AI592" s="3"/>
      <c r="AJ592" s="3"/>
    </row>
    <row r="593" spans="2:36" ht="14.4" x14ac:dyDescent="0.3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4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5"/>
      <c r="AH593" s="3"/>
      <c r="AI593" s="3"/>
      <c r="AJ593" s="3"/>
    </row>
    <row r="594" spans="2:36" ht="14.4" x14ac:dyDescent="0.3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4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5"/>
      <c r="AH594" s="3"/>
      <c r="AI594" s="3"/>
      <c r="AJ594" s="3"/>
    </row>
    <row r="595" spans="2:36" ht="14.4" x14ac:dyDescent="0.3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4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5"/>
      <c r="AH595" s="3"/>
      <c r="AI595" s="3"/>
      <c r="AJ595" s="3"/>
    </row>
    <row r="596" spans="2:36" ht="14.4" x14ac:dyDescent="0.3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4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5"/>
      <c r="AH596" s="3"/>
      <c r="AI596" s="3"/>
      <c r="AJ596" s="3"/>
    </row>
    <row r="597" spans="2:36" ht="14.4" x14ac:dyDescent="0.3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4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5"/>
      <c r="AH597" s="3"/>
      <c r="AI597" s="3"/>
      <c r="AJ597" s="3"/>
    </row>
    <row r="598" spans="2:36" ht="14.4" x14ac:dyDescent="0.3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4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5"/>
      <c r="AH598" s="3"/>
      <c r="AI598" s="3"/>
      <c r="AJ598" s="3"/>
    </row>
    <row r="599" spans="2:36" ht="14.4" x14ac:dyDescent="0.3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4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5"/>
      <c r="AH599" s="3"/>
      <c r="AI599" s="3"/>
      <c r="AJ599" s="3"/>
    </row>
    <row r="600" spans="2:36" ht="14.4" x14ac:dyDescent="0.3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4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5"/>
      <c r="AH600" s="3"/>
      <c r="AI600" s="3"/>
      <c r="AJ600" s="3"/>
    </row>
    <row r="601" spans="2:36" ht="14.4" x14ac:dyDescent="0.3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4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5"/>
      <c r="AH601" s="3"/>
      <c r="AI601" s="3"/>
      <c r="AJ601" s="3"/>
    </row>
    <row r="602" spans="2:36" ht="14.4" x14ac:dyDescent="0.3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4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5"/>
      <c r="AH602" s="3"/>
      <c r="AI602" s="3"/>
      <c r="AJ602" s="3"/>
    </row>
    <row r="603" spans="2:36" ht="14.4" x14ac:dyDescent="0.3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4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5"/>
      <c r="AH603" s="3"/>
      <c r="AI603" s="3"/>
      <c r="AJ603" s="3"/>
    </row>
    <row r="604" spans="2:36" ht="14.4" x14ac:dyDescent="0.3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4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5"/>
      <c r="AH604" s="3"/>
      <c r="AI604" s="3"/>
      <c r="AJ604" s="3"/>
    </row>
    <row r="605" spans="2:36" ht="14.4" x14ac:dyDescent="0.3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4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5"/>
      <c r="AH605" s="3"/>
      <c r="AI605" s="3"/>
      <c r="AJ605" s="3"/>
    </row>
    <row r="606" spans="2:36" ht="14.4" x14ac:dyDescent="0.3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4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5"/>
      <c r="AH606" s="3"/>
      <c r="AI606" s="3"/>
      <c r="AJ606" s="3"/>
    </row>
    <row r="607" spans="2:36" ht="14.4" x14ac:dyDescent="0.3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4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5"/>
      <c r="AH607" s="3"/>
      <c r="AI607" s="3"/>
      <c r="AJ607" s="3"/>
    </row>
    <row r="608" spans="2:36" ht="14.4" x14ac:dyDescent="0.3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4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5"/>
      <c r="AH608" s="3"/>
      <c r="AI608" s="3"/>
      <c r="AJ608" s="3"/>
    </row>
    <row r="609" spans="2:36" ht="14.4" x14ac:dyDescent="0.3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4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5"/>
      <c r="AH609" s="3"/>
      <c r="AI609" s="3"/>
      <c r="AJ609" s="3"/>
    </row>
    <row r="610" spans="2:36" ht="14.4" x14ac:dyDescent="0.3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4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5"/>
      <c r="AH610" s="3"/>
      <c r="AI610" s="3"/>
      <c r="AJ610" s="3"/>
    </row>
    <row r="611" spans="2:36" ht="14.4" x14ac:dyDescent="0.3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4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5"/>
      <c r="AH611" s="3"/>
      <c r="AI611" s="3"/>
      <c r="AJ611" s="3"/>
    </row>
    <row r="612" spans="2:36" ht="14.4" x14ac:dyDescent="0.3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4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5"/>
      <c r="AH612" s="3"/>
      <c r="AI612" s="3"/>
      <c r="AJ612" s="3"/>
    </row>
    <row r="613" spans="2:36" ht="14.4" x14ac:dyDescent="0.3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4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5"/>
      <c r="AH613" s="3"/>
      <c r="AI613" s="3"/>
      <c r="AJ613" s="3"/>
    </row>
    <row r="614" spans="2:36" ht="14.4" x14ac:dyDescent="0.3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4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5"/>
      <c r="AH614" s="3"/>
      <c r="AI614" s="3"/>
      <c r="AJ614" s="3"/>
    </row>
    <row r="615" spans="2:36" ht="14.4" x14ac:dyDescent="0.3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4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5"/>
      <c r="AH615" s="3"/>
      <c r="AI615" s="3"/>
      <c r="AJ615" s="3"/>
    </row>
    <row r="616" spans="2:36" ht="14.4" x14ac:dyDescent="0.3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4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5"/>
      <c r="AH616" s="3"/>
      <c r="AI616" s="3"/>
      <c r="AJ616" s="3"/>
    </row>
    <row r="617" spans="2:36" ht="14.4" x14ac:dyDescent="0.3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4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5"/>
      <c r="AH617" s="3"/>
      <c r="AI617" s="3"/>
      <c r="AJ617" s="3"/>
    </row>
    <row r="618" spans="2:36" ht="14.4" x14ac:dyDescent="0.3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4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5"/>
      <c r="AH618" s="3"/>
      <c r="AI618" s="3"/>
      <c r="AJ618" s="3"/>
    </row>
    <row r="619" spans="2:36" ht="14.4" x14ac:dyDescent="0.3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4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5"/>
      <c r="AH619" s="3"/>
      <c r="AI619" s="3"/>
      <c r="AJ619" s="3"/>
    </row>
    <row r="620" spans="2:36" ht="14.4" x14ac:dyDescent="0.3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4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5"/>
      <c r="AH620" s="3"/>
      <c r="AI620" s="3"/>
      <c r="AJ620" s="3"/>
    </row>
    <row r="621" spans="2:36" ht="14.4" x14ac:dyDescent="0.3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4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5"/>
      <c r="AH621" s="3"/>
      <c r="AI621" s="3"/>
      <c r="AJ621" s="3"/>
    </row>
    <row r="622" spans="2:36" ht="14.4" x14ac:dyDescent="0.3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4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5"/>
      <c r="AH622" s="3"/>
      <c r="AI622" s="3"/>
      <c r="AJ622" s="3"/>
    </row>
    <row r="623" spans="2:36" ht="14.4" x14ac:dyDescent="0.3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4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5"/>
      <c r="AH623" s="3"/>
      <c r="AI623" s="3"/>
      <c r="AJ623" s="3"/>
    </row>
    <row r="624" spans="2:36" ht="14.4" x14ac:dyDescent="0.3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4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5"/>
      <c r="AH624" s="3"/>
      <c r="AI624" s="3"/>
      <c r="AJ624" s="3"/>
    </row>
    <row r="625" spans="2:36" ht="14.4" x14ac:dyDescent="0.3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4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5"/>
      <c r="AH625" s="3"/>
      <c r="AI625" s="3"/>
      <c r="AJ625" s="3"/>
    </row>
    <row r="626" spans="2:36" ht="14.4" x14ac:dyDescent="0.3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4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5"/>
      <c r="AH626" s="3"/>
      <c r="AI626" s="3"/>
      <c r="AJ626" s="3"/>
    </row>
    <row r="627" spans="2:36" ht="14.4" x14ac:dyDescent="0.3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4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5"/>
      <c r="AH627" s="3"/>
      <c r="AI627" s="3"/>
      <c r="AJ627" s="3"/>
    </row>
    <row r="628" spans="2:36" ht="14.4" x14ac:dyDescent="0.3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4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5"/>
      <c r="AH628" s="3"/>
      <c r="AI628" s="3"/>
      <c r="AJ628" s="3"/>
    </row>
    <row r="629" spans="2:36" ht="14.4" x14ac:dyDescent="0.3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4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5"/>
      <c r="AH629" s="3"/>
      <c r="AI629" s="3"/>
      <c r="AJ629" s="3"/>
    </row>
    <row r="630" spans="2:36" ht="14.4" x14ac:dyDescent="0.3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4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5"/>
      <c r="AH630" s="3"/>
      <c r="AI630" s="3"/>
      <c r="AJ630" s="3"/>
    </row>
    <row r="631" spans="2:36" ht="14.4" x14ac:dyDescent="0.3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4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5"/>
      <c r="AH631" s="3"/>
      <c r="AI631" s="3"/>
      <c r="AJ631" s="3"/>
    </row>
    <row r="632" spans="2:36" ht="14.4" x14ac:dyDescent="0.3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4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5"/>
      <c r="AH632" s="3"/>
      <c r="AI632" s="3"/>
      <c r="AJ632" s="3"/>
    </row>
    <row r="633" spans="2:36" ht="14.4" x14ac:dyDescent="0.3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4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5"/>
      <c r="AH633" s="3"/>
      <c r="AI633" s="3"/>
      <c r="AJ633" s="3"/>
    </row>
    <row r="634" spans="2:36" ht="14.4" x14ac:dyDescent="0.3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4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5"/>
      <c r="AH634" s="3"/>
      <c r="AI634" s="3"/>
      <c r="AJ634" s="3"/>
    </row>
    <row r="635" spans="2:36" ht="14.4" x14ac:dyDescent="0.3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4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5"/>
      <c r="AH635" s="3"/>
      <c r="AI635" s="3"/>
      <c r="AJ635" s="3"/>
    </row>
    <row r="636" spans="2:36" ht="14.4" x14ac:dyDescent="0.3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4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5"/>
      <c r="AH636" s="3"/>
      <c r="AI636" s="3"/>
      <c r="AJ636" s="3"/>
    </row>
    <row r="637" spans="2:36" ht="14.4" x14ac:dyDescent="0.3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4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5"/>
      <c r="AH637" s="3"/>
      <c r="AI637" s="3"/>
      <c r="AJ637" s="3"/>
    </row>
    <row r="638" spans="2:36" ht="14.4" x14ac:dyDescent="0.3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4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5"/>
      <c r="AH638" s="3"/>
      <c r="AI638" s="3"/>
      <c r="AJ638" s="3"/>
    </row>
    <row r="639" spans="2:36" ht="14.4" x14ac:dyDescent="0.3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4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5"/>
      <c r="AH639" s="3"/>
      <c r="AI639" s="3"/>
      <c r="AJ639" s="3"/>
    </row>
    <row r="640" spans="2:36" ht="14.4" x14ac:dyDescent="0.3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4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5"/>
      <c r="AH640" s="3"/>
      <c r="AI640" s="3"/>
      <c r="AJ640" s="3"/>
    </row>
    <row r="641" spans="2:36" ht="14.4" x14ac:dyDescent="0.3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4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5"/>
      <c r="AH641" s="3"/>
      <c r="AI641" s="3"/>
      <c r="AJ641" s="3"/>
    </row>
    <row r="642" spans="2:36" ht="14.4" x14ac:dyDescent="0.3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4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5"/>
      <c r="AH642" s="3"/>
      <c r="AI642" s="3"/>
      <c r="AJ642" s="3"/>
    </row>
    <row r="643" spans="2:36" ht="14.4" x14ac:dyDescent="0.3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4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5"/>
      <c r="AH643" s="3"/>
      <c r="AI643" s="3"/>
      <c r="AJ643" s="3"/>
    </row>
    <row r="644" spans="2:36" ht="14.4" x14ac:dyDescent="0.3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4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5"/>
      <c r="AH644" s="3"/>
      <c r="AI644" s="3"/>
      <c r="AJ644" s="3"/>
    </row>
    <row r="645" spans="2:36" ht="14.4" x14ac:dyDescent="0.3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4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5"/>
      <c r="AH645" s="3"/>
      <c r="AI645" s="3"/>
      <c r="AJ645" s="3"/>
    </row>
    <row r="646" spans="2:36" ht="14.4" x14ac:dyDescent="0.3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4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5"/>
      <c r="AH646" s="3"/>
      <c r="AI646" s="3"/>
      <c r="AJ646" s="3"/>
    </row>
    <row r="647" spans="2:36" ht="14.4" x14ac:dyDescent="0.3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4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5"/>
      <c r="AH647" s="3"/>
      <c r="AI647" s="3"/>
      <c r="AJ647" s="3"/>
    </row>
    <row r="648" spans="2:36" ht="14.4" x14ac:dyDescent="0.3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4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5"/>
      <c r="AH648" s="3"/>
      <c r="AI648" s="3"/>
      <c r="AJ648" s="3"/>
    </row>
    <row r="649" spans="2:36" ht="14.4" x14ac:dyDescent="0.3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4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5"/>
      <c r="AH649" s="3"/>
      <c r="AI649" s="3"/>
      <c r="AJ649" s="3"/>
    </row>
    <row r="650" spans="2:36" ht="14.4" x14ac:dyDescent="0.3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4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5"/>
      <c r="AH650" s="3"/>
      <c r="AI650" s="3"/>
      <c r="AJ650" s="3"/>
    </row>
    <row r="651" spans="2:36" ht="14.4" x14ac:dyDescent="0.3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4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5"/>
      <c r="AH651" s="3"/>
      <c r="AI651" s="3"/>
      <c r="AJ651" s="3"/>
    </row>
    <row r="652" spans="2:36" ht="14.4" x14ac:dyDescent="0.3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4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5"/>
      <c r="AH652" s="3"/>
      <c r="AI652" s="3"/>
      <c r="AJ652" s="3"/>
    </row>
    <row r="653" spans="2:36" ht="14.4" x14ac:dyDescent="0.3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4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5"/>
      <c r="AH653" s="3"/>
      <c r="AI653" s="3"/>
      <c r="AJ653" s="3"/>
    </row>
    <row r="654" spans="2:36" ht="14.4" x14ac:dyDescent="0.3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4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5"/>
      <c r="AH654" s="3"/>
      <c r="AI654" s="3"/>
      <c r="AJ654" s="3"/>
    </row>
    <row r="655" spans="2:36" ht="14.4" x14ac:dyDescent="0.3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4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5"/>
      <c r="AH655" s="3"/>
      <c r="AI655" s="3"/>
      <c r="AJ655" s="3"/>
    </row>
    <row r="656" spans="2:36" ht="14.4" x14ac:dyDescent="0.3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4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5"/>
      <c r="AH656" s="3"/>
      <c r="AI656" s="3"/>
      <c r="AJ656" s="3"/>
    </row>
    <row r="657" spans="2:36" ht="14.4" x14ac:dyDescent="0.3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4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5"/>
      <c r="AH657" s="3"/>
      <c r="AI657" s="3"/>
      <c r="AJ657" s="3"/>
    </row>
    <row r="658" spans="2:36" ht="14.4" x14ac:dyDescent="0.3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4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5"/>
      <c r="AH658" s="3"/>
      <c r="AI658" s="3"/>
      <c r="AJ658" s="3"/>
    </row>
    <row r="659" spans="2:36" ht="14.4" x14ac:dyDescent="0.3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4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5"/>
      <c r="AH659" s="3"/>
      <c r="AI659" s="3"/>
      <c r="AJ659" s="3"/>
    </row>
    <row r="660" spans="2:36" ht="14.4" x14ac:dyDescent="0.3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4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5"/>
      <c r="AH660" s="3"/>
      <c r="AI660" s="3"/>
      <c r="AJ660" s="3"/>
    </row>
    <row r="661" spans="2:36" ht="14.4" x14ac:dyDescent="0.3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4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5"/>
      <c r="AH661" s="3"/>
      <c r="AI661" s="3"/>
      <c r="AJ661" s="3"/>
    </row>
    <row r="662" spans="2:36" ht="14.4" x14ac:dyDescent="0.3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4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5"/>
      <c r="AH662" s="3"/>
      <c r="AI662" s="3"/>
      <c r="AJ662" s="3"/>
    </row>
    <row r="663" spans="2:36" ht="14.4" x14ac:dyDescent="0.3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4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5"/>
      <c r="AH663" s="3"/>
      <c r="AI663" s="3"/>
      <c r="AJ663" s="3"/>
    </row>
    <row r="664" spans="2:36" ht="14.4" x14ac:dyDescent="0.3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4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5"/>
      <c r="AH664" s="3"/>
      <c r="AI664" s="3"/>
      <c r="AJ664" s="3"/>
    </row>
    <row r="665" spans="2:36" ht="14.4" x14ac:dyDescent="0.3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4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5"/>
      <c r="AH665" s="3"/>
      <c r="AI665" s="3"/>
      <c r="AJ665" s="3"/>
    </row>
    <row r="666" spans="2:36" ht="14.4" x14ac:dyDescent="0.3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4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5"/>
      <c r="AH666" s="3"/>
      <c r="AI666" s="3"/>
      <c r="AJ666" s="3"/>
    </row>
    <row r="667" spans="2:36" ht="14.4" x14ac:dyDescent="0.3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4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5"/>
      <c r="AH667" s="3"/>
      <c r="AI667" s="3"/>
      <c r="AJ667" s="3"/>
    </row>
    <row r="668" spans="2:36" ht="14.4" x14ac:dyDescent="0.3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4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5"/>
      <c r="AH668" s="3"/>
      <c r="AI668" s="3"/>
      <c r="AJ668" s="3"/>
    </row>
    <row r="669" spans="2:36" ht="14.4" x14ac:dyDescent="0.3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4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5"/>
      <c r="AH669" s="3"/>
      <c r="AI669" s="3"/>
      <c r="AJ669" s="3"/>
    </row>
    <row r="670" spans="2:36" ht="14.4" x14ac:dyDescent="0.3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4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5"/>
      <c r="AH670" s="3"/>
      <c r="AI670" s="3"/>
      <c r="AJ670" s="3"/>
    </row>
    <row r="671" spans="2:36" ht="14.4" x14ac:dyDescent="0.3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4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5"/>
      <c r="AH671" s="3"/>
      <c r="AI671" s="3"/>
      <c r="AJ671" s="3"/>
    </row>
    <row r="672" spans="2:36" ht="14.4" x14ac:dyDescent="0.3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4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5"/>
      <c r="AH672" s="3"/>
      <c r="AI672" s="3"/>
      <c r="AJ672" s="3"/>
    </row>
    <row r="673" spans="2:36" ht="14.4" x14ac:dyDescent="0.3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4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5"/>
      <c r="AH673" s="3"/>
      <c r="AI673" s="3"/>
      <c r="AJ673" s="3"/>
    </row>
    <row r="674" spans="2:36" ht="14.4" x14ac:dyDescent="0.3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4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5"/>
      <c r="AH674" s="3"/>
      <c r="AI674" s="3"/>
      <c r="AJ674" s="3"/>
    </row>
    <row r="675" spans="2:36" ht="14.4" x14ac:dyDescent="0.3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4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5"/>
      <c r="AH675" s="3"/>
      <c r="AI675" s="3"/>
      <c r="AJ675" s="3"/>
    </row>
    <row r="676" spans="2:36" ht="14.4" x14ac:dyDescent="0.3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4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5"/>
      <c r="AH676" s="3"/>
      <c r="AI676" s="3"/>
      <c r="AJ676" s="3"/>
    </row>
    <row r="677" spans="2:36" ht="14.4" x14ac:dyDescent="0.3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4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5"/>
      <c r="AH677" s="3"/>
      <c r="AI677" s="3"/>
      <c r="AJ677" s="3"/>
    </row>
    <row r="678" spans="2:36" ht="14.4" x14ac:dyDescent="0.3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4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5"/>
      <c r="AH678" s="3"/>
      <c r="AI678" s="3"/>
      <c r="AJ678" s="3"/>
    </row>
    <row r="679" spans="2:36" ht="14.4" x14ac:dyDescent="0.3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4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5"/>
      <c r="AH679" s="3"/>
      <c r="AI679" s="3"/>
      <c r="AJ679" s="3"/>
    </row>
    <row r="680" spans="2:36" ht="14.4" x14ac:dyDescent="0.3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4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5"/>
      <c r="AH680" s="3"/>
      <c r="AI680" s="3"/>
      <c r="AJ680" s="3"/>
    </row>
    <row r="681" spans="2:36" ht="14.4" x14ac:dyDescent="0.3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4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5"/>
      <c r="AH681" s="3"/>
      <c r="AI681" s="3"/>
      <c r="AJ681" s="3"/>
    </row>
    <row r="682" spans="2:36" ht="14.4" x14ac:dyDescent="0.3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4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5"/>
      <c r="AH682" s="3"/>
      <c r="AI682" s="3"/>
      <c r="AJ682" s="3"/>
    </row>
    <row r="683" spans="2:36" ht="14.4" x14ac:dyDescent="0.3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4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5"/>
      <c r="AH683" s="3"/>
      <c r="AI683" s="3"/>
      <c r="AJ683" s="3"/>
    </row>
    <row r="684" spans="2:36" ht="14.4" x14ac:dyDescent="0.3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4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5"/>
      <c r="AH684" s="3"/>
      <c r="AI684" s="3"/>
      <c r="AJ684" s="3"/>
    </row>
    <row r="685" spans="2:36" ht="14.4" x14ac:dyDescent="0.3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4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5"/>
      <c r="AH685" s="3"/>
      <c r="AI685" s="3"/>
      <c r="AJ685" s="3"/>
    </row>
    <row r="686" spans="2:36" ht="14.4" x14ac:dyDescent="0.3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4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5"/>
      <c r="AH686" s="3"/>
      <c r="AI686" s="3"/>
      <c r="AJ686" s="3"/>
    </row>
    <row r="687" spans="2:36" ht="14.4" x14ac:dyDescent="0.3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4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5"/>
      <c r="AH687" s="3"/>
      <c r="AI687" s="3"/>
      <c r="AJ687" s="3"/>
    </row>
    <row r="688" spans="2:36" ht="14.4" x14ac:dyDescent="0.3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4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5"/>
      <c r="AH688" s="3"/>
      <c r="AI688" s="3"/>
      <c r="AJ688" s="3"/>
    </row>
    <row r="689" spans="2:36" ht="14.4" x14ac:dyDescent="0.3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4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5"/>
      <c r="AH689" s="3"/>
      <c r="AI689" s="3"/>
      <c r="AJ689" s="3"/>
    </row>
    <row r="690" spans="2:36" ht="14.4" x14ac:dyDescent="0.3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4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5"/>
      <c r="AH690" s="3"/>
      <c r="AI690" s="3"/>
      <c r="AJ690" s="3"/>
    </row>
    <row r="691" spans="2:36" ht="14.4" x14ac:dyDescent="0.3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4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5"/>
      <c r="AH691" s="3"/>
      <c r="AI691" s="3"/>
      <c r="AJ691" s="3"/>
    </row>
    <row r="692" spans="2:36" ht="14.4" x14ac:dyDescent="0.3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4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5"/>
      <c r="AH692" s="3"/>
      <c r="AI692" s="3"/>
      <c r="AJ692" s="3"/>
    </row>
    <row r="693" spans="2:36" ht="14.4" x14ac:dyDescent="0.3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4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5"/>
      <c r="AH693" s="3"/>
      <c r="AI693" s="3"/>
      <c r="AJ693" s="3"/>
    </row>
    <row r="694" spans="2:36" ht="14.4" x14ac:dyDescent="0.3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4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5"/>
      <c r="AH694" s="3"/>
      <c r="AI694" s="3"/>
      <c r="AJ694" s="3"/>
    </row>
    <row r="695" spans="2:36" ht="14.4" x14ac:dyDescent="0.3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4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5"/>
      <c r="AH695" s="3"/>
      <c r="AI695" s="3"/>
      <c r="AJ695" s="3"/>
    </row>
    <row r="696" spans="2:36" ht="14.4" x14ac:dyDescent="0.3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4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5"/>
      <c r="AH696" s="3"/>
      <c r="AI696" s="3"/>
      <c r="AJ696" s="3"/>
    </row>
    <row r="697" spans="2:36" ht="14.4" x14ac:dyDescent="0.3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4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5"/>
      <c r="AH697" s="3"/>
      <c r="AI697" s="3"/>
      <c r="AJ697" s="3"/>
    </row>
    <row r="698" spans="2:36" ht="14.4" x14ac:dyDescent="0.3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4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5"/>
      <c r="AH698" s="3"/>
      <c r="AI698" s="3"/>
      <c r="AJ698" s="3"/>
    </row>
    <row r="699" spans="2:36" ht="14.4" x14ac:dyDescent="0.3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4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5"/>
      <c r="AH699" s="3"/>
      <c r="AI699" s="3"/>
      <c r="AJ699" s="3"/>
    </row>
    <row r="700" spans="2:36" ht="14.4" x14ac:dyDescent="0.3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4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5"/>
      <c r="AH700" s="3"/>
      <c r="AI700" s="3"/>
      <c r="AJ700" s="3"/>
    </row>
    <row r="701" spans="2:36" ht="14.4" x14ac:dyDescent="0.3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4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5"/>
      <c r="AH701" s="3"/>
      <c r="AI701" s="3"/>
      <c r="AJ701" s="3"/>
    </row>
    <row r="702" spans="2:36" ht="14.4" x14ac:dyDescent="0.3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4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5"/>
      <c r="AH702" s="3"/>
      <c r="AI702" s="3"/>
      <c r="AJ702" s="3"/>
    </row>
    <row r="703" spans="2:36" ht="14.4" x14ac:dyDescent="0.3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4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5"/>
      <c r="AH703" s="3"/>
      <c r="AI703" s="3"/>
      <c r="AJ703" s="3"/>
    </row>
    <row r="704" spans="2:36" ht="14.4" x14ac:dyDescent="0.3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4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5"/>
      <c r="AH704" s="3"/>
      <c r="AI704" s="3"/>
      <c r="AJ704" s="3"/>
    </row>
    <row r="705" spans="2:36" ht="14.4" x14ac:dyDescent="0.3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4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5"/>
      <c r="AH705" s="3"/>
      <c r="AI705" s="3"/>
      <c r="AJ705" s="3"/>
    </row>
    <row r="706" spans="2:36" ht="14.4" x14ac:dyDescent="0.3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4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5"/>
      <c r="AH706" s="3"/>
      <c r="AI706" s="3"/>
      <c r="AJ706" s="3"/>
    </row>
    <row r="707" spans="2:36" ht="14.4" x14ac:dyDescent="0.3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4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5"/>
      <c r="AH707" s="3"/>
      <c r="AI707" s="3"/>
      <c r="AJ707" s="3"/>
    </row>
    <row r="708" spans="2:36" ht="14.4" x14ac:dyDescent="0.3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4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5"/>
      <c r="AH708" s="3"/>
      <c r="AI708" s="3"/>
      <c r="AJ708" s="3"/>
    </row>
    <row r="709" spans="2:36" ht="14.4" x14ac:dyDescent="0.3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4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5"/>
      <c r="AH709" s="3"/>
      <c r="AI709" s="3"/>
      <c r="AJ709" s="3"/>
    </row>
    <row r="710" spans="2:36" ht="14.4" x14ac:dyDescent="0.3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4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5"/>
      <c r="AH710" s="3"/>
      <c r="AI710" s="3"/>
      <c r="AJ710" s="3"/>
    </row>
    <row r="711" spans="2:36" ht="14.4" x14ac:dyDescent="0.3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4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5"/>
      <c r="AH711" s="3"/>
      <c r="AI711" s="3"/>
      <c r="AJ711" s="3"/>
    </row>
    <row r="712" spans="2:36" ht="14.4" x14ac:dyDescent="0.3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4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5"/>
      <c r="AH712" s="3"/>
      <c r="AI712" s="3"/>
      <c r="AJ712" s="3"/>
    </row>
    <row r="713" spans="2:36" ht="14.4" x14ac:dyDescent="0.3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4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5"/>
      <c r="AH713" s="3"/>
      <c r="AI713" s="3"/>
      <c r="AJ713" s="3"/>
    </row>
    <row r="714" spans="2:36" ht="14.4" x14ac:dyDescent="0.3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4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5"/>
      <c r="AH714" s="3"/>
      <c r="AI714" s="3"/>
      <c r="AJ714" s="3"/>
    </row>
    <row r="715" spans="2:36" ht="14.4" x14ac:dyDescent="0.3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4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5"/>
      <c r="AH715" s="3"/>
      <c r="AI715" s="3"/>
      <c r="AJ715" s="3"/>
    </row>
    <row r="716" spans="2:36" ht="14.4" x14ac:dyDescent="0.3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4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5"/>
      <c r="AH716" s="3"/>
      <c r="AI716" s="3"/>
      <c r="AJ716" s="3"/>
    </row>
    <row r="717" spans="2:36" ht="14.4" x14ac:dyDescent="0.3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4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5"/>
      <c r="AH717" s="3"/>
      <c r="AI717" s="3"/>
      <c r="AJ717" s="3"/>
    </row>
    <row r="718" spans="2:36" ht="14.4" x14ac:dyDescent="0.3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4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5"/>
      <c r="AH718" s="3"/>
      <c r="AI718" s="3"/>
      <c r="AJ718" s="3"/>
    </row>
    <row r="719" spans="2:36" ht="14.4" x14ac:dyDescent="0.3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4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5"/>
      <c r="AH719" s="3"/>
      <c r="AI719" s="3"/>
      <c r="AJ719" s="3"/>
    </row>
    <row r="720" spans="2:36" ht="14.4" x14ac:dyDescent="0.3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4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5"/>
      <c r="AH720" s="3"/>
      <c r="AI720" s="3"/>
      <c r="AJ720" s="3"/>
    </row>
    <row r="721" spans="2:36" ht="14.4" x14ac:dyDescent="0.3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4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5"/>
      <c r="AH721" s="3"/>
      <c r="AI721" s="3"/>
      <c r="AJ721" s="3"/>
    </row>
    <row r="722" spans="2:36" ht="14.4" x14ac:dyDescent="0.3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4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5"/>
      <c r="AH722" s="3"/>
      <c r="AI722" s="3"/>
      <c r="AJ722" s="3"/>
    </row>
    <row r="723" spans="2:36" ht="14.4" x14ac:dyDescent="0.3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4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5"/>
      <c r="AH723" s="3"/>
      <c r="AI723" s="3"/>
      <c r="AJ723" s="3"/>
    </row>
    <row r="724" spans="2:36" ht="14.4" x14ac:dyDescent="0.3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4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5"/>
      <c r="AH724" s="3"/>
      <c r="AI724" s="3"/>
      <c r="AJ724" s="3"/>
    </row>
    <row r="725" spans="2:36" ht="14.4" x14ac:dyDescent="0.3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4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5"/>
      <c r="AH725" s="3"/>
      <c r="AI725" s="3"/>
      <c r="AJ725" s="3"/>
    </row>
    <row r="726" spans="2:36" ht="14.4" x14ac:dyDescent="0.3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4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5"/>
      <c r="AH726" s="3"/>
      <c r="AI726" s="3"/>
      <c r="AJ726" s="3"/>
    </row>
    <row r="727" spans="2:36" ht="14.4" x14ac:dyDescent="0.3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4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5"/>
      <c r="AH727" s="3"/>
      <c r="AI727" s="3"/>
      <c r="AJ727" s="3"/>
    </row>
    <row r="728" spans="2:36" ht="14.4" x14ac:dyDescent="0.3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4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5"/>
      <c r="AH728" s="3"/>
      <c r="AI728" s="3"/>
      <c r="AJ728" s="3"/>
    </row>
    <row r="729" spans="2:36" ht="14.4" x14ac:dyDescent="0.3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4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5"/>
      <c r="AH729" s="3"/>
      <c r="AI729" s="3"/>
      <c r="AJ729" s="3"/>
    </row>
    <row r="730" spans="2:36" ht="14.4" x14ac:dyDescent="0.3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4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5"/>
      <c r="AH730" s="3"/>
      <c r="AI730" s="3"/>
      <c r="AJ730" s="3"/>
    </row>
    <row r="731" spans="2:36" ht="14.4" x14ac:dyDescent="0.3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4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5"/>
      <c r="AH731" s="3"/>
      <c r="AI731" s="3"/>
      <c r="AJ731" s="3"/>
    </row>
    <row r="732" spans="2:36" ht="14.4" x14ac:dyDescent="0.3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4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5"/>
      <c r="AH732" s="3"/>
      <c r="AI732" s="3"/>
      <c r="AJ732" s="3"/>
    </row>
    <row r="733" spans="2:36" ht="14.4" x14ac:dyDescent="0.3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4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5"/>
      <c r="AH733" s="3"/>
      <c r="AI733" s="3"/>
      <c r="AJ733" s="3"/>
    </row>
    <row r="734" spans="2:36" ht="14.4" x14ac:dyDescent="0.3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4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5"/>
      <c r="AH734" s="3"/>
      <c r="AI734" s="3"/>
      <c r="AJ734" s="3"/>
    </row>
    <row r="735" spans="2:36" ht="14.4" x14ac:dyDescent="0.3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4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5"/>
      <c r="AH735" s="3"/>
      <c r="AI735" s="3"/>
      <c r="AJ735" s="3"/>
    </row>
    <row r="736" spans="2:36" ht="14.4" x14ac:dyDescent="0.3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4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5"/>
      <c r="AH736" s="3"/>
      <c r="AI736" s="3"/>
      <c r="AJ736" s="3"/>
    </row>
    <row r="737" spans="2:36" ht="14.4" x14ac:dyDescent="0.3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4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5"/>
      <c r="AH737" s="3"/>
      <c r="AI737" s="3"/>
      <c r="AJ737" s="3"/>
    </row>
    <row r="738" spans="2:36" ht="14.4" x14ac:dyDescent="0.3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4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5"/>
      <c r="AH738" s="3"/>
      <c r="AI738" s="3"/>
      <c r="AJ738" s="3"/>
    </row>
    <row r="739" spans="2:36" ht="14.4" x14ac:dyDescent="0.3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4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5"/>
      <c r="AH739" s="3"/>
      <c r="AI739" s="3"/>
      <c r="AJ739" s="3"/>
    </row>
    <row r="740" spans="2:36" ht="14.4" x14ac:dyDescent="0.3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4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5"/>
      <c r="AH740" s="3"/>
      <c r="AI740" s="3"/>
      <c r="AJ740" s="3"/>
    </row>
    <row r="741" spans="2:36" ht="14.4" x14ac:dyDescent="0.3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4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5"/>
      <c r="AH741" s="3"/>
      <c r="AI741" s="3"/>
      <c r="AJ741" s="3"/>
    </row>
    <row r="742" spans="2:36" ht="14.4" x14ac:dyDescent="0.3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4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5"/>
      <c r="AH742" s="3"/>
      <c r="AI742" s="3"/>
      <c r="AJ742" s="3"/>
    </row>
    <row r="743" spans="2:36" ht="14.4" x14ac:dyDescent="0.3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4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5"/>
      <c r="AH743" s="3"/>
      <c r="AI743" s="3"/>
      <c r="AJ743" s="3"/>
    </row>
    <row r="744" spans="2:36" ht="14.4" x14ac:dyDescent="0.3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4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5"/>
      <c r="AH744" s="3"/>
      <c r="AI744" s="3"/>
      <c r="AJ744" s="3"/>
    </row>
    <row r="745" spans="2:36" ht="14.4" x14ac:dyDescent="0.3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4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5"/>
      <c r="AH745" s="3"/>
      <c r="AI745" s="3"/>
      <c r="AJ745" s="3"/>
    </row>
    <row r="746" spans="2:36" ht="14.4" x14ac:dyDescent="0.3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4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5"/>
      <c r="AH746" s="3"/>
      <c r="AI746" s="3"/>
      <c r="AJ746" s="3"/>
    </row>
    <row r="747" spans="2:36" ht="14.4" x14ac:dyDescent="0.3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4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5"/>
      <c r="AH747" s="3"/>
      <c r="AI747" s="3"/>
      <c r="AJ747" s="3"/>
    </row>
    <row r="748" spans="2:36" ht="14.4" x14ac:dyDescent="0.3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4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5"/>
      <c r="AH748" s="3"/>
      <c r="AI748" s="3"/>
      <c r="AJ748" s="3"/>
    </row>
    <row r="749" spans="2:36" ht="14.4" x14ac:dyDescent="0.3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4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5"/>
      <c r="AH749" s="3"/>
      <c r="AI749" s="3"/>
      <c r="AJ749" s="3"/>
    </row>
    <row r="750" spans="2:36" ht="14.4" x14ac:dyDescent="0.3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4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5"/>
      <c r="AH750" s="3"/>
      <c r="AI750" s="3"/>
      <c r="AJ750" s="3"/>
    </row>
    <row r="751" spans="2:36" ht="14.4" x14ac:dyDescent="0.3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4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5"/>
      <c r="AH751" s="3"/>
      <c r="AI751" s="3"/>
      <c r="AJ751" s="3"/>
    </row>
    <row r="752" spans="2:36" ht="14.4" x14ac:dyDescent="0.3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4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5"/>
      <c r="AH752" s="3"/>
      <c r="AI752" s="3"/>
      <c r="AJ752" s="3"/>
    </row>
    <row r="753" spans="2:36" ht="14.4" x14ac:dyDescent="0.3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4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5"/>
      <c r="AH753" s="3"/>
      <c r="AI753" s="3"/>
      <c r="AJ753" s="3"/>
    </row>
    <row r="754" spans="2:36" ht="14.4" x14ac:dyDescent="0.3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4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5"/>
      <c r="AH754" s="3"/>
      <c r="AI754" s="3"/>
      <c r="AJ754" s="3"/>
    </row>
    <row r="755" spans="2:36" ht="14.4" x14ac:dyDescent="0.3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4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5"/>
      <c r="AH755" s="3"/>
      <c r="AI755" s="3"/>
      <c r="AJ755" s="3"/>
    </row>
    <row r="756" spans="2:36" ht="14.4" x14ac:dyDescent="0.3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4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5"/>
      <c r="AH756" s="3"/>
      <c r="AI756" s="3"/>
      <c r="AJ756" s="3"/>
    </row>
    <row r="757" spans="2:36" ht="14.4" x14ac:dyDescent="0.3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4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5"/>
      <c r="AH757" s="3"/>
      <c r="AI757" s="3"/>
      <c r="AJ757" s="3"/>
    </row>
    <row r="758" spans="2:36" ht="14.4" x14ac:dyDescent="0.3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4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5"/>
      <c r="AH758" s="3"/>
      <c r="AI758" s="3"/>
      <c r="AJ758" s="3"/>
    </row>
    <row r="759" spans="2:36" ht="14.4" x14ac:dyDescent="0.3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4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5"/>
      <c r="AH759" s="3"/>
      <c r="AI759" s="3"/>
      <c r="AJ759" s="3"/>
    </row>
    <row r="760" spans="2:36" ht="14.4" x14ac:dyDescent="0.3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4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5"/>
      <c r="AH760" s="3"/>
      <c r="AI760" s="3"/>
      <c r="AJ760" s="3"/>
    </row>
    <row r="761" spans="2:36" ht="14.4" x14ac:dyDescent="0.3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4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5"/>
      <c r="AH761" s="3"/>
      <c r="AI761" s="3"/>
      <c r="AJ761" s="3"/>
    </row>
    <row r="762" spans="2:36" ht="14.4" x14ac:dyDescent="0.3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4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5"/>
      <c r="AH762" s="3"/>
      <c r="AI762" s="3"/>
      <c r="AJ762" s="3"/>
    </row>
    <row r="763" spans="2:36" ht="14.4" x14ac:dyDescent="0.3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4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5"/>
      <c r="AH763" s="3"/>
      <c r="AI763" s="3"/>
      <c r="AJ763" s="3"/>
    </row>
    <row r="764" spans="2:36" ht="14.4" x14ac:dyDescent="0.3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4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5"/>
      <c r="AH764" s="3"/>
      <c r="AI764" s="3"/>
      <c r="AJ764" s="3"/>
    </row>
    <row r="765" spans="2:36" ht="14.4" x14ac:dyDescent="0.3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4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5"/>
      <c r="AH765" s="3"/>
      <c r="AI765" s="3"/>
      <c r="AJ765" s="3"/>
    </row>
    <row r="766" spans="2:36" ht="14.4" x14ac:dyDescent="0.3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4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5"/>
      <c r="AH766" s="3"/>
      <c r="AI766" s="3"/>
      <c r="AJ766" s="3"/>
    </row>
    <row r="767" spans="2:36" ht="14.4" x14ac:dyDescent="0.3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4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5"/>
      <c r="AH767" s="3"/>
      <c r="AI767" s="3"/>
      <c r="AJ767" s="3"/>
    </row>
    <row r="768" spans="2:36" ht="14.4" x14ac:dyDescent="0.3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4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5"/>
      <c r="AH768" s="3"/>
      <c r="AI768" s="3"/>
      <c r="AJ768" s="3"/>
    </row>
    <row r="769" spans="2:36" ht="14.4" x14ac:dyDescent="0.3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4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5"/>
      <c r="AH769" s="3"/>
      <c r="AI769" s="3"/>
      <c r="AJ769" s="3"/>
    </row>
    <row r="770" spans="2:36" ht="14.4" x14ac:dyDescent="0.3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4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5"/>
      <c r="AH770" s="3"/>
      <c r="AI770" s="3"/>
      <c r="AJ770" s="3"/>
    </row>
    <row r="771" spans="2:36" ht="14.4" x14ac:dyDescent="0.3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4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5"/>
      <c r="AH771" s="3"/>
      <c r="AI771" s="3"/>
      <c r="AJ771" s="3"/>
    </row>
    <row r="772" spans="2:36" ht="14.4" x14ac:dyDescent="0.3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4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5"/>
      <c r="AH772" s="3"/>
      <c r="AI772" s="3"/>
      <c r="AJ772" s="3"/>
    </row>
    <row r="773" spans="2:36" ht="14.4" x14ac:dyDescent="0.3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4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5"/>
      <c r="AH773" s="3"/>
      <c r="AI773" s="3"/>
      <c r="AJ773" s="3"/>
    </row>
    <row r="774" spans="2:36" ht="14.4" x14ac:dyDescent="0.3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4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5"/>
      <c r="AH774" s="3"/>
      <c r="AI774" s="3"/>
      <c r="AJ774" s="3"/>
    </row>
    <row r="775" spans="2:36" ht="14.4" x14ac:dyDescent="0.3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4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5"/>
      <c r="AH775" s="3"/>
      <c r="AI775" s="3"/>
      <c r="AJ775" s="3"/>
    </row>
    <row r="776" spans="2:36" ht="14.4" x14ac:dyDescent="0.3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4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5"/>
      <c r="AH776" s="3"/>
      <c r="AI776" s="3"/>
      <c r="AJ776" s="3"/>
    </row>
    <row r="777" spans="2:36" ht="14.4" x14ac:dyDescent="0.3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4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5"/>
      <c r="AH777" s="3"/>
      <c r="AI777" s="3"/>
      <c r="AJ777" s="3"/>
    </row>
    <row r="778" spans="2:36" ht="14.4" x14ac:dyDescent="0.3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4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5"/>
      <c r="AH778" s="3"/>
      <c r="AI778" s="3"/>
      <c r="AJ778" s="3"/>
    </row>
    <row r="779" spans="2:36" ht="14.4" x14ac:dyDescent="0.3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4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5"/>
      <c r="AH779" s="3"/>
      <c r="AI779" s="3"/>
      <c r="AJ779" s="3"/>
    </row>
    <row r="780" spans="2:36" ht="14.4" x14ac:dyDescent="0.3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4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5"/>
      <c r="AH780" s="3"/>
      <c r="AI780" s="3"/>
      <c r="AJ780" s="3"/>
    </row>
    <row r="781" spans="2:36" ht="14.4" x14ac:dyDescent="0.3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4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5"/>
      <c r="AH781" s="3"/>
      <c r="AI781" s="3"/>
      <c r="AJ781" s="3"/>
    </row>
    <row r="782" spans="2:36" ht="14.4" x14ac:dyDescent="0.3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4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5"/>
      <c r="AH782" s="3"/>
      <c r="AI782" s="3"/>
      <c r="AJ782" s="3"/>
    </row>
    <row r="783" spans="2:36" ht="14.4" x14ac:dyDescent="0.3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4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5"/>
      <c r="AH783" s="3"/>
      <c r="AI783" s="3"/>
      <c r="AJ783" s="3"/>
    </row>
    <row r="784" spans="2:36" ht="14.4" x14ac:dyDescent="0.3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4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5"/>
      <c r="AH784" s="3"/>
      <c r="AI784" s="3"/>
      <c r="AJ784" s="3"/>
    </row>
    <row r="785" spans="2:36" ht="14.4" x14ac:dyDescent="0.3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4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5"/>
      <c r="AH785" s="3"/>
      <c r="AI785" s="3"/>
      <c r="AJ785" s="3"/>
    </row>
    <row r="786" spans="2:36" ht="14.4" x14ac:dyDescent="0.3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4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5"/>
      <c r="AH786" s="3"/>
      <c r="AI786" s="3"/>
      <c r="AJ786" s="3"/>
    </row>
    <row r="787" spans="2:36" ht="14.4" x14ac:dyDescent="0.3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4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5"/>
      <c r="AH787" s="3"/>
      <c r="AI787" s="3"/>
      <c r="AJ787" s="3"/>
    </row>
    <row r="788" spans="2:36" ht="14.4" x14ac:dyDescent="0.3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4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5"/>
      <c r="AH788" s="3"/>
      <c r="AI788" s="3"/>
      <c r="AJ788" s="3"/>
    </row>
    <row r="789" spans="2:36" ht="14.4" x14ac:dyDescent="0.3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4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5"/>
      <c r="AH789" s="3"/>
      <c r="AI789" s="3"/>
      <c r="AJ789" s="3"/>
    </row>
    <row r="790" spans="2:36" ht="14.4" x14ac:dyDescent="0.3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4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5"/>
      <c r="AH790" s="3"/>
      <c r="AI790" s="3"/>
      <c r="AJ790" s="3"/>
    </row>
    <row r="791" spans="2:36" ht="14.4" x14ac:dyDescent="0.3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4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5"/>
      <c r="AH791" s="3"/>
      <c r="AI791" s="3"/>
      <c r="AJ791" s="3"/>
    </row>
    <row r="792" spans="2:36" ht="14.4" x14ac:dyDescent="0.3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4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5"/>
      <c r="AH792" s="3"/>
      <c r="AI792" s="3"/>
      <c r="AJ792" s="3"/>
    </row>
    <row r="793" spans="2:36" ht="14.4" x14ac:dyDescent="0.3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4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5"/>
      <c r="AH793" s="3"/>
      <c r="AI793" s="3"/>
      <c r="AJ793" s="3"/>
    </row>
    <row r="794" spans="2:36" ht="14.4" x14ac:dyDescent="0.3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4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5"/>
      <c r="AH794" s="3"/>
      <c r="AI794" s="3"/>
      <c r="AJ794" s="3"/>
    </row>
    <row r="795" spans="2:36" ht="14.4" x14ac:dyDescent="0.3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4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5"/>
      <c r="AH795" s="3"/>
      <c r="AI795" s="3"/>
      <c r="AJ795" s="3"/>
    </row>
    <row r="796" spans="2:36" ht="14.4" x14ac:dyDescent="0.3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4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5"/>
      <c r="AH796" s="3"/>
      <c r="AI796" s="3"/>
      <c r="AJ796" s="3"/>
    </row>
    <row r="797" spans="2:36" ht="14.4" x14ac:dyDescent="0.3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4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5"/>
      <c r="AH797" s="3"/>
      <c r="AI797" s="3"/>
      <c r="AJ797" s="3"/>
    </row>
    <row r="798" spans="2:36" ht="14.4" x14ac:dyDescent="0.3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4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5"/>
      <c r="AH798" s="3"/>
      <c r="AI798" s="3"/>
      <c r="AJ798" s="3"/>
    </row>
    <row r="799" spans="2:36" ht="14.4" x14ac:dyDescent="0.3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4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5"/>
      <c r="AH799" s="3"/>
      <c r="AI799" s="3"/>
      <c r="AJ799" s="3"/>
    </row>
    <row r="800" spans="2:36" ht="14.4" x14ac:dyDescent="0.3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4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5"/>
      <c r="AH800" s="3"/>
      <c r="AI800" s="3"/>
      <c r="AJ800" s="3"/>
    </row>
    <row r="801" spans="2:36" ht="14.4" x14ac:dyDescent="0.3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4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5"/>
      <c r="AH801" s="3"/>
      <c r="AI801" s="3"/>
      <c r="AJ801" s="3"/>
    </row>
    <row r="802" spans="2:36" ht="14.4" x14ac:dyDescent="0.3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4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5"/>
      <c r="AH802" s="3"/>
      <c r="AI802" s="3"/>
      <c r="AJ802" s="3"/>
    </row>
    <row r="803" spans="2:36" ht="14.4" x14ac:dyDescent="0.3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4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5"/>
      <c r="AH803" s="3"/>
      <c r="AI803" s="3"/>
      <c r="AJ803" s="3"/>
    </row>
    <row r="804" spans="2:36" ht="14.4" x14ac:dyDescent="0.3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4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5"/>
      <c r="AH804" s="3"/>
      <c r="AI804" s="3"/>
      <c r="AJ804" s="3"/>
    </row>
    <row r="805" spans="2:36" ht="14.4" x14ac:dyDescent="0.3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4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5"/>
      <c r="AH805" s="3"/>
      <c r="AI805" s="3"/>
      <c r="AJ805" s="3"/>
    </row>
    <row r="806" spans="2:36" ht="14.4" x14ac:dyDescent="0.3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4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5"/>
      <c r="AH806" s="3"/>
      <c r="AI806" s="3"/>
      <c r="AJ806" s="3"/>
    </row>
    <row r="807" spans="2:36" ht="14.4" x14ac:dyDescent="0.3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4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5"/>
      <c r="AH807" s="3"/>
      <c r="AI807" s="3"/>
      <c r="AJ807" s="3"/>
    </row>
    <row r="808" spans="2:36" ht="14.4" x14ac:dyDescent="0.3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4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5"/>
      <c r="AH808" s="3"/>
      <c r="AI808" s="3"/>
      <c r="AJ808" s="3"/>
    </row>
    <row r="809" spans="2:36" ht="14.4" x14ac:dyDescent="0.3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4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5"/>
      <c r="AH809" s="3"/>
      <c r="AI809" s="3"/>
      <c r="AJ809" s="3"/>
    </row>
    <row r="810" spans="2:36" ht="14.4" x14ac:dyDescent="0.3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4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5"/>
      <c r="AH810" s="3"/>
      <c r="AI810" s="3"/>
      <c r="AJ810" s="3"/>
    </row>
    <row r="811" spans="2:36" ht="14.4" x14ac:dyDescent="0.3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4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5"/>
      <c r="AH811" s="3"/>
      <c r="AI811" s="3"/>
      <c r="AJ811" s="3"/>
    </row>
    <row r="812" spans="2:36" ht="14.4" x14ac:dyDescent="0.3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4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5"/>
      <c r="AH812" s="3"/>
      <c r="AI812" s="3"/>
      <c r="AJ812" s="3"/>
    </row>
    <row r="813" spans="2:36" ht="14.4" x14ac:dyDescent="0.3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4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5"/>
      <c r="AH813" s="3"/>
      <c r="AI813" s="3"/>
      <c r="AJ813" s="3"/>
    </row>
    <row r="814" spans="2:36" ht="14.4" x14ac:dyDescent="0.3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4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5"/>
      <c r="AH814" s="3"/>
      <c r="AI814" s="3"/>
      <c r="AJ814" s="3"/>
    </row>
    <row r="815" spans="2:36" ht="14.4" x14ac:dyDescent="0.3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4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5"/>
      <c r="AH815" s="3"/>
      <c r="AI815" s="3"/>
      <c r="AJ815" s="3"/>
    </row>
    <row r="816" spans="2:36" ht="14.4" x14ac:dyDescent="0.3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4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5"/>
      <c r="AH816" s="3"/>
      <c r="AI816" s="3"/>
      <c r="AJ816" s="3"/>
    </row>
    <row r="817" spans="2:36" ht="14.4" x14ac:dyDescent="0.3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4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5"/>
      <c r="AH817" s="3"/>
      <c r="AI817" s="3"/>
      <c r="AJ817" s="3"/>
    </row>
    <row r="818" spans="2:36" ht="14.4" x14ac:dyDescent="0.3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4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5"/>
      <c r="AH818" s="3"/>
      <c r="AI818" s="3"/>
      <c r="AJ818" s="3"/>
    </row>
    <row r="819" spans="2:36" ht="14.4" x14ac:dyDescent="0.3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4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5"/>
      <c r="AH819" s="3"/>
      <c r="AI819" s="3"/>
      <c r="AJ819" s="3"/>
    </row>
    <row r="820" spans="2:36" ht="14.4" x14ac:dyDescent="0.3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4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5"/>
      <c r="AH820" s="3"/>
      <c r="AI820" s="3"/>
      <c r="AJ820" s="3"/>
    </row>
    <row r="821" spans="2:36" ht="14.4" x14ac:dyDescent="0.3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4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5"/>
      <c r="AH821" s="3"/>
      <c r="AI821" s="3"/>
      <c r="AJ821" s="3"/>
    </row>
    <row r="822" spans="2:36" ht="14.4" x14ac:dyDescent="0.3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4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5"/>
      <c r="AH822" s="3"/>
      <c r="AI822" s="3"/>
      <c r="AJ822" s="3"/>
    </row>
    <row r="823" spans="2:36" ht="14.4" x14ac:dyDescent="0.3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4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5"/>
      <c r="AH823" s="3"/>
      <c r="AI823" s="3"/>
      <c r="AJ823" s="3"/>
    </row>
    <row r="824" spans="2:36" ht="14.4" x14ac:dyDescent="0.3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4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5"/>
      <c r="AH824" s="3"/>
      <c r="AI824" s="3"/>
      <c r="AJ824" s="3"/>
    </row>
    <row r="825" spans="2:36" ht="14.4" x14ac:dyDescent="0.3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4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5"/>
      <c r="AH825" s="3"/>
      <c r="AI825" s="3"/>
      <c r="AJ825" s="3"/>
    </row>
    <row r="826" spans="2:36" ht="14.4" x14ac:dyDescent="0.3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4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5"/>
      <c r="AH826" s="3"/>
      <c r="AI826" s="3"/>
      <c r="AJ826" s="3"/>
    </row>
    <row r="827" spans="2:36" ht="14.4" x14ac:dyDescent="0.3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4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5"/>
      <c r="AH827" s="3"/>
      <c r="AI827" s="3"/>
      <c r="AJ827" s="3"/>
    </row>
    <row r="828" spans="2:36" ht="14.4" x14ac:dyDescent="0.3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4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5"/>
      <c r="AH828" s="3"/>
      <c r="AI828" s="3"/>
      <c r="AJ828" s="3"/>
    </row>
    <row r="829" spans="2:36" ht="14.4" x14ac:dyDescent="0.3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4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5"/>
      <c r="AH829" s="3"/>
      <c r="AI829" s="3"/>
      <c r="AJ829" s="3"/>
    </row>
    <row r="830" spans="2:36" ht="14.4" x14ac:dyDescent="0.3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4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5"/>
      <c r="AH830" s="3"/>
      <c r="AI830" s="3"/>
      <c r="AJ830" s="3"/>
    </row>
    <row r="831" spans="2:36" ht="14.4" x14ac:dyDescent="0.3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4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5"/>
      <c r="AH831" s="3"/>
      <c r="AI831" s="3"/>
      <c r="AJ831" s="3"/>
    </row>
    <row r="832" spans="2:36" ht="14.4" x14ac:dyDescent="0.3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4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5"/>
      <c r="AH832" s="3"/>
      <c r="AI832" s="3"/>
      <c r="AJ832" s="3"/>
    </row>
    <row r="833" spans="2:36" ht="14.4" x14ac:dyDescent="0.3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4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5"/>
      <c r="AH833" s="3"/>
      <c r="AI833" s="3"/>
      <c r="AJ833" s="3"/>
    </row>
    <row r="834" spans="2:36" ht="14.4" x14ac:dyDescent="0.3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4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5"/>
      <c r="AH834" s="3"/>
      <c r="AI834" s="3"/>
      <c r="AJ834" s="3"/>
    </row>
    <row r="835" spans="2:36" ht="14.4" x14ac:dyDescent="0.3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4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5"/>
      <c r="AH835" s="3"/>
      <c r="AI835" s="3"/>
      <c r="AJ835" s="3"/>
    </row>
    <row r="836" spans="2:36" ht="14.4" x14ac:dyDescent="0.3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4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5"/>
      <c r="AH836" s="3"/>
      <c r="AI836" s="3"/>
      <c r="AJ836" s="3"/>
    </row>
    <row r="837" spans="2:36" ht="14.4" x14ac:dyDescent="0.3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4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5"/>
      <c r="AH837" s="3"/>
      <c r="AI837" s="3"/>
      <c r="AJ837" s="3"/>
    </row>
    <row r="838" spans="2:36" ht="14.4" x14ac:dyDescent="0.3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4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5"/>
      <c r="AH838" s="3"/>
      <c r="AI838" s="3"/>
      <c r="AJ838" s="3"/>
    </row>
    <row r="839" spans="2:36" ht="14.4" x14ac:dyDescent="0.3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4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5"/>
      <c r="AH839" s="3"/>
      <c r="AI839" s="3"/>
      <c r="AJ839" s="3"/>
    </row>
    <row r="840" spans="2:36" ht="14.4" x14ac:dyDescent="0.3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4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5"/>
      <c r="AH840" s="3"/>
      <c r="AI840" s="3"/>
      <c r="AJ840" s="3"/>
    </row>
    <row r="841" spans="2:36" ht="14.4" x14ac:dyDescent="0.3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4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5"/>
      <c r="AH841" s="3"/>
      <c r="AI841" s="3"/>
      <c r="AJ841" s="3"/>
    </row>
    <row r="842" spans="2:36" ht="14.4" x14ac:dyDescent="0.3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4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5"/>
      <c r="AH842" s="3"/>
      <c r="AI842" s="3"/>
      <c r="AJ842" s="3"/>
    </row>
    <row r="843" spans="2:36" ht="14.4" x14ac:dyDescent="0.3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4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5"/>
      <c r="AH843" s="3"/>
      <c r="AI843" s="3"/>
      <c r="AJ843" s="3"/>
    </row>
    <row r="844" spans="2:36" ht="14.4" x14ac:dyDescent="0.3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4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5"/>
      <c r="AH844" s="3"/>
      <c r="AI844" s="3"/>
      <c r="AJ844" s="3"/>
    </row>
    <row r="845" spans="2:36" ht="14.4" x14ac:dyDescent="0.3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4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5"/>
      <c r="AH845" s="3"/>
      <c r="AI845" s="3"/>
      <c r="AJ845" s="3"/>
    </row>
    <row r="846" spans="2:36" ht="14.4" x14ac:dyDescent="0.3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4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5"/>
      <c r="AH846" s="3"/>
      <c r="AI846" s="3"/>
      <c r="AJ846" s="3"/>
    </row>
    <row r="847" spans="2:36" ht="14.4" x14ac:dyDescent="0.3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4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5"/>
      <c r="AH847" s="3"/>
      <c r="AI847" s="3"/>
      <c r="AJ847" s="3"/>
    </row>
    <row r="848" spans="2:36" ht="14.4" x14ac:dyDescent="0.3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4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5"/>
      <c r="AH848" s="3"/>
      <c r="AI848" s="3"/>
      <c r="AJ848" s="3"/>
    </row>
    <row r="849" spans="2:36" ht="14.4" x14ac:dyDescent="0.3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4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5"/>
      <c r="AH849" s="3"/>
      <c r="AI849" s="3"/>
      <c r="AJ849" s="3"/>
    </row>
    <row r="850" spans="2:36" ht="14.4" x14ac:dyDescent="0.3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4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5"/>
      <c r="AH850" s="3"/>
      <c r="AI850" s="3"/>
      <c r="AJ850" s="3"/>
    </row>
    <row r="851" spans="2:36" ht="14.4" x14ac:dyDescent="0.3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4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5"/>
      <c r="AH851" s="3"/>
      <c r="AI851" s="3"/>
      <c r="AJ851" s="3"/>
    </row>
    <row r="852" spans="2:36" ht="14.4" x14ac:dyDescent="0.3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4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5"/>
      <c r="AH852" s="3"/>
      <c r="AI852" s="3"/>
      <c r="AJ852" s="3"/>
    </row>
    <row r="853" spans="2:36" ht="14.4" x14ac:dyDescent="0.3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4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5"/>
      <c r="AH853" s="3"/>
      <c r="AI853" s="3"/>
      <c r="AJ853" s="3"/>
    </row>
    <row r="854" spans="2:36" ht="14.4" x14ac:dyDescent="0.3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4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5"/>
      <c r="AH854" s="3"/>
      <c r="AI854" s="3"/>
      <c r="AJ854" s="3"/>
    </row>
    <row r="855" spans="2:36" ht="14.4" x14ac:dyDescent="0.3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4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5"/>
      <c r="AH855" s="3"/>
      <c r="AI855" s="3"/>
      <c r="AJ855" s="3"/>
    </row>
    <row r="856" spans="2:36" ht="14.4" x14ac:dyDescent="0.3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4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5"/>
      <c r="AH856" s="3"/>
      <c r="AI856" s="3"/>
      <c r="AJ856" s="3"/>
    </row>
    <row r="857" spans="2:36" ht="14.4" x14ac:dyDescent="0.3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4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5"/>
      <c r="AH857" s="3"/>
      <c r="AI857" s="3"/>
      <c r="AJ857" s="3"/>
    </row>
    <row r="858" spans="2:36" ht="14.4" x14ac:dyDescent="0.3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4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5"/>
      <c r="AH858" s="3"/>
      <c r="AI858" s="3"/>
      <c r="AJ858" s="3"/>
    </row>
    <row r="859" spans="2:36" ht="14.4" x14ac:dyDescent="0.3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4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5"/>
      <c r="AH859" s="3"/>
      <c r="AI859" s="3"/>
      <c r="AJ859" s="3"/>
    </row>
    <row r="860" spans="2:36" ht="14.4" x14ac:dyDescent="0.3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4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5"/>
      <c r="AH860" s="3"/>
      <c r="AI860" s="3"/>
      <c r="AJ860" s="3"/>
    </row>
    <row r="861" spans="2:36" ht="14.4" x14ac:dyDescent="0.3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4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5"/>
      <c r="AH861" s="3"/>
      <c r="AI861" s="3"/>
      <c r="AJ861" s="3"/>
    </row>
    <row r="862" spans="2:36" ht="14.4" x14ac:dyDescent="0.3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4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5"/>
      <c r="AH862" s="3"/>
      <c r="AI862" s="3"/>
      <c r="AJ862" s="3"/>
    </row>
    <row r="863" spans="2:36" ht="14.4" x14ac:dyDescent="0.3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4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5"/>
      <c r="AH863" s="3"/>
      <c r="AI863" s="3"/>
      <c r="AJ863" s="3"/>
    </row>
    <row r="864" spans="2:36" ht="14.4" x14ac:dyDescent="0.3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4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5"/>
      <c r="AH864" s="3"/>
      <c r="AI864" s="3"/>
      <c r="AJ864" s="3"/>
    </row>
    <row r="865" spans="2:36" ht="14.4" x14ac:dyDescent="0.3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4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5"/>
      <c r="AH865" s="3"/>
      <c r="AI865" s="3"/>
      <c r="AJ865" s="3"/>
    </row>
    <row r="866" spans="2:36" ht="14.4" x14ac:dyDescent="0.3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4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5"/>
      <c r="AH866" s="3"/>
      <c r="AI866" s="3"/>
      <c r="AJ866" s="3"/>
    </row>
    <row r="867" spans="2:36" ht="14.4" x14ac:dyDescent="0.3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4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5"/>
      <c r="AH867" s="3"/>
      <c r="AI867" s="3"/>
      <c r="AJ867" s="3"/>
    </row>
    <row r="868" spans="2:36" ht="14.4" x14ac:dyDescent="0.3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4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5"/>
      <c r="AH868" s="3"/>
      <c r="AI868" s="3"/>
      <c r="AJ868" s="3"/>
    </row>
    <row r="869" spans="2:36" ht="14.4" x14ac:dyDescent="0.3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4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5"/>
      <c r="AH869" s="3"/>
      <c r="AI869" s="3"/>
      <c r="AJ869" s="3"/>
    </row>
    <row r="870" spans="2:36" ht="14.4" x14ac:dyDescent="0.3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4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5"/>
      <c r="AH870" s="3"/>
      <c r="AI870" s="3"/>
      <c r="AJ870" s="3"/>
    </row>
    <row r="871" spans="2:36" ht="14.4" x14ac:dyDescent="0.3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4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5"/>
      <c r="AH871" s="3"/>
      <c r="AI871" s="3"/>
      <c r="AJ871" s="3"/>
    </row>
    <row r="872" spans="2:36" ht="14.4" x14ac:dyDescent="0.3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4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5"/>
      <c r="AH872" s="3"/>
      <c r="AI872" s="3"/>
      <c r="AJ872" s="3"/>
    </row>
    <row r="873" spans="2:36" ht="14.4" x14ac:dyDescent="0.3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4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5"/>
      <c r="AH873" s="3"/>
      <c r="AI873" s="3"/>
      <c r="AJ873" s="3"/>
    </row>
    <row r="874" spans="2:36" ht="14.4" x14ac:dyDescent="0.3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4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5"/>
      <c r="AH874" s="3"/>
      <c r="AI874" s="3"/>
      <c r="AJ874" s="3"/>
    </row>
    <row r="875" spans="2:36" ht="14.4" x14ac:dyDescent="0.3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4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5"/>
      <c r="AH875" s="3"/>
      <c r="AI875" s="3"/>
      <c r="AJ875" s="3"/>
    </row>
    <row r="876" spans="2:36" ht="14.4" x14ac:dyDescent="0.3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4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5"/>
      <c r="AH876" s="3"/>
      <c r="AI876" s="3"/>
      <c r="AJ876" s="3"/>
    </row>
    <row r="877" spans="2:36" ht="14.4" x14ac:dyDescent="0.3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4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5"/>
      <c r="AH877" s="3"/>
      <c r="AI877" s="3"/>
      <c r="AJ877" s="3"/>
    </row>
    <row r="878" spans="2:36" ht="14.4" x14ac:dyDescent="0.3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4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5"/>
      <c r="AH878" s="3"/>
      <c r="AI878" s="3"/>
      <c r="AJ878" s="3"/>
    </row>
    <row r="879" spans="2:36" ht="14.4" x14ac:dyDescent="0.3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4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5"/>
      <c r="AH879" s="3"/>
      <c r="AI879" s="3"/>
      <c r="AJ879" s="3"/>
    </row>
    <row r="880" spans="2:36" ht="14.4" x14ac:dyDescent="0.3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4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5"/>
      <c r="AH880" s="3"/>
      <c r="AI880" s="3"/>
      <c r="AJ880" s="3"/>
    </row>
    <row r="881" spans="2:36" ht="14.4" x14ac:dyDescent="0.3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4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5"/>
      <c r="AH881" s="3"/>
      <c r="AI881" s="3"/>
      <c r="AJ881" s="3"/>
    </row>
    <row r="882" spans="2:36" ht="14.4" x14ac:dyDescent="0.3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4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5"/>
      <c r="AH882" s="3"/>
      <c r="AI882" s="3"/>
      <c r="AJ882" s="3"/>
    </row>
    <row r="883" spans="2:36" ht="14.4" x14ac:dyDescent="0.3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4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5"/>
      <c r="AH883" s="3"/>
      <c r="AI883" s="3"/>
      <c r="AJ883" s="3"/>
    </row>
    <row r="884" spans="2:36" ht="14.4" x14ac:dyDescent="0.3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4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5"/>
      <c r="AH884" s="3"/>
      <c r="AI884" s="3"/>
      <c r="AJ884" s="3"/>
    </row>
    <row r="885" spans="2:36" ht="14.4" x14ac:dyDescent="0.3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4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5"/>
      <c r="AH885" s="3"/>
      <c r="AI885" s="3"/>
      <c r="AJ885" s="3"/>
    </row>
    <row r="886" spans="2:36" ht="14.4" x14ac:dyDescent="0.3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4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5"/>
      <c r="AH886" s="3"/>
      <c r="AI886" s="3"/>
      <c r="AJ886" s="3"/>
    </row>
    <row r="887" spans="2:36" ht="14.4" x14ac:dyDescent="0.3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4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5"/>
      <c r="AH887" s="3"/>
      <c r="AI887" s="3"/>
      <c r="AJ887" s="3"/>
    </row>
    <row r="888" spans="2:36" ht="14.4" x14ac:dyDescent="0.3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4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5"/>
      <c r="AH888" s="3"/>
      <c r="AI888" s="3"/>
      <c r="AJ888" s="3"/>
    </row>
    <row r="889" spans="2:36" ht="14.4" x14ac:dyDescent="0.3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4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5"/>
      <c r="AH889" s="3"/>
      <c r="AI889" s="3"/>
      <c r="AJ889" s="3"/>
    </row>
    <row r="890" spans="2:36" ht="14.4" x14ac:dyDescent="0.3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4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5"/>
      <c r="AH890" s="3"/>
      <c r="AI890" s="3"/>
      <c r="AJ890" s="3"/>
    </row>
    <row r="891" spans="2:36" ht="14.4" x14ac:dyDescent="0.3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4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5"/>
      <c r="AH891" s="3"/>
      <c r="AI891" s="3"/>
      <c r="AJ891" s="3"/>
    </row>
    <row r="892" spans="2:36" ht="14.4" x14ac:dyDescent="0.3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4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5"/>
      <c r="AH892" s="3"/>
      <c r="AI892" s="3"/>
      <c r="AJ892" s="3"/>
    </row>
    <row r="893" spans="2:36" ht="14.4" x14ac:dyDescent="0.3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4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5"/>
      <c r="AH893" s="3"/>
      <c r="AI893" s="3"/>
      <c r="AJ893" s="3"/>
    </row>
    <row r="894" spans="2:36" ht="14.4" x14ac:dyDescent="0.3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4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5"/>
      <c r="AH894" s="3"/>
      <c r="AI894" s="3"/>
      <c r="AJ894" s="3"/>
    </row>
    <row r="895" spans="2:36" ht="14.4" x14ac:dyDescent="0.3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4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5"/>
      <c r="AH895" s="3"/>
      <c r="AI895" s="3"/>
      <c r="AJ895" s="3"/>
    </row>
    <row r="896" spans="2:36" ht="14.4" x14ac:dyDescent="0.3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4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5"/>
      <c r="AH896" s="3"/>
      <c r="AI896" s="3"/>
      <c r="AJ896" s="3"/>
    </row>
    <row r="897" spans="2:36" ht="14.4" x14ac:dyDescent="0.3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4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5"/>
      <c r="AH897" s="3"/>
      <c r="AI897" s="3"/>
      <c r="AJ897" s="3"/>
    </row>
    <row r="898" spans="2:36" ht="14.4" x14ac:dyDescent="0.3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4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5"/>
      <c r="AH898" s="3"/>
      <c r="AI898" s="3"/>
      <c r="AJ898" s="3"/>
    </row>
    <row r="899" spans="2:36" ht="14.4" x14ac:dyDescent="0.3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4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5"/>
      <c r="AH899" s="3"/>
      <c r="AI899" s="3"/>
      <c r="AJ899" s="3"/>
    </row>
    <row r="900" spans="2:36" ht="14.4" x14ac:dyDescent="0.3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4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5"/>
      <c r="AH900" s="3"/>
      <c r="AI900" s="3"/>
      <c r="AJ900" s="3"/>
    </row>
    <row r="901" spans="2:36" ht="14.4" x14ac:dyDescent="0.3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4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5"/>
      <c r="AH901" s="3"/>
      <c r="AI901" s="3"/>
      <c r="AJ901" s="3"/>
    </row>
    <row r="902" spans="2:36" ht="14.4" x14ac:dyDescent="0.3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4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5"/>
      <c r="AH902" s="3"/>
      <c r="AI902" s="3"/>
      <c r="AJ902" s="3"/>
    </row>
    <row r="903" spans="2:36" ht="14.4" x14ac:dyDescent="0.3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4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5"/>
      <c r="AH903" s="3"/>
      <c r="AI903" s="3"/>
      <c r="AJ903" s="3"/>
    </row>
    <row r="904" spans="2:36" ht="14.4" x14ac:dyDescent="0.3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4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5"/>
      <c r="AH904" s="3"/>
      <c r="AI904" s="3"/>
      <c r="AJ904" s="3"/>
    </row>
    <row r="905" spans="2:36" ht="14.4" x14ac:dyDescent="0.3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4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5"/>
      <c r="AH905" s="3"/>
      <c r="AI905" s="3"/>
      <c r="AJ905" s="3"/>
    </row>
    <row r="906" spans="2:36" ht="14.4" x14ac:dyDescent="0.3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4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5"/>
      <c r="AH906" s="3"/>
      <c r="AI906" s="3"/>
      <c r="AJ906" s="3"/>
    </row>
    <row r="907" spans="2:36" ht="14.4" x14ac:dyDescent="0.3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4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5"/>
      <c r="AH907" s="3"/>
      <c r="AI907" s="3"/>
      <c r="AJ907" s="3"/>
    </row>
    <row r="908" spans="2:36" ht="14.4" x14ac:dyDescent="0.3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4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5"/>
      <c r="AH908" s="3"/>
      <c r="AI908" s="3"/>
      <c r="AJ908" s="3"/>
    </row>
    <row r="909" spans="2:36" ht="14.4" x14ac:dyDescent="0.3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4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5"/>
      <c r="AH909" s="3"/>
      <c r="AI909" s="3"/>
      <c r="AJ909" s="3"/>
    </row>
    <row r="910" spans="2:36" ht="14.4" x14ac:dyDescent="0.3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4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5"/>
      <c r="AH910" s="3"/>
      <c r="AI910" s="3"/>
      <c r="AJ910" s="3"/>
    </row>
    <row r="911" spans="2:36" ht="14.4" x14ac:dyDescent="0.3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4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5"/>
      <c r="AH911" s="3"/>
      <c r="AI911" s="3"/>
      <c r="AJ911" s="3"/>
    </row>
    <row r="912" spans="2:36" ht="14.4" x14ac:dyDescent="0.3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4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5"/>
      <c r="AH912" s="3"/>
      <c r="AI912" s="3"/>
      <c r="AJ912" s="3"/>
    </row>
    <row r="913" spans="2:36" ht="14.4" x14ac:dyDescent="0.3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4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5"/>
      <c r="AH913" s="3"/>
      <c r="AI913" s="3"/>
      <c r="AJ913" s="3"/>
    </row>
    <row r="914" spans="2:36" ht="14.4" x14ac:dyDescent="0.3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4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5"/>
      <c r="AH914" s="3"/>
      <c r="AI914" s="3"/>
      <c r="AJ914" s="3"/>
    </row>
    <row r="915" spans="2:36" ht="14.4" x14ac:dyDescent="0.3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4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5"/>
      <c r="AH915" s="3"/>
      <c r="AI915" s="3"/>
      <c r="AJ915" s="3"/>
    </row>
    <row r="916" spans="2:36" ht="14.4" x14ac:dyDescent="0.3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4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5"/>
      <c r="AH916" s="3"/>
      <c r="AI916" s="3"/>
      <c r="AJ916" s="3"/>
    </row>
    <row r="917" spans="2:36" ht="14.4" x14ac:dyDescent="0.3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4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5"/>
      <c r="AH917" s="3"/>
      <c r="AI917" s="3"/>
      <c r="AJ917" s="3"/>
    </row>
    <row r="918" spans="2:36" ht="14.4" x14ac:dyDescent="0.3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4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5"/>
      <c r="AH918" s="3"/>
      <c r="AI918" s="3"/>
      <c r="AJ918" s="3"/>
    </row>
    <row r="919" spans="2:36" ht="14.4" x14ac:dyDescent="0.3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4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5"/>
      <c r="AH919" s="3"/>
      <c r="AI919" s="3"/>
      <c r="AJ919" s="3"/>
    </row>
    <row r="920" spans="2:36" ht="14.4" x14ac:dyDescent="0.3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4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5"/>
      <c r="AH920" s="3"/>
      <c r="AI920" s="3"/>
      <c r="AJ920" s="3"/>
    </row>
    <row r="921" spans="2:36" ht="14.4" x14ac:dyDescent="0.3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4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5"/>
      <c r="AH921" s="3"/>
      <c r="AI921" s="3"/>
      <c r="AJ921" s="3"/>
    </row>
    <row r="922" spans="2:36" ht="14.4" x14ac:dyDescent="0.3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4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5"/>
      <c r="AH922" s="3"/>
      <c r="AI922" s="3"/>
      <c r="AJ922" s="3"/>
    </row>
    <row r="923" spans="2:36" ht="14.4" x14ac:dyDescent="0.3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4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5"/>
      <c r="AH923" s="3"/>
      <c r="AI923" s="3"/>
      <c r="AJ923" s="3"/>
    </row>
    <row r="924" spans="2:36" ht="14.4" x14ac:dyDescent="0.3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4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5"/>
      <c r="AH924" s="3"/>
      <c r="AI924" s="3"/>
      <c r="AJ924" s="3"/>
    </row>
    <row r="925" spans="2:36" ht="14.4" x14ac:dyDescent="0.3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4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5"/>
      <c r="AH925" s="3"/>
      <c r="AI925" s="3"/>
      <c r="AJ925" s="3"/>
    </row>
    <row r="926" spans="2:36" ht="14.4" x14ac:dyDescent="0.3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4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5"/>
      <c r="AH926" s="3"/>
      <c r="AI926" s="3"/>
      <c r="AJ926" s="3"/>
    </row>
    <row r="927" spans="2:36" ht="14.4" x14ac:dyDescent="0.3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4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5"/>
      <c r="AH927" s="3"/>
      <c r="AI927" s="3"/>
      <c r="AJ927" s="3"/>
    </row>
    <row r="928" spans="2:36" ht="14.4" x14ac:dyDescent="0.3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4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5"/>
      <c r="AH928" s="3"/>
      <c r="AI928" s="3"/>
      <c r="AJ928" s="3"/>
    </row>
    <row r="929" spans="2:36" ht="14.4" x14ac:dyDescent="0.3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4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5"/>
      <c r="AH929" s="3"/>
      <c r="AI929" s="3"/>
      <c r="AJ929" s="3"/>
    </row>
    <row r="930" spans="2:36" ht="14.4" x14ac:dyDescent="0.3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4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5"/>
      <c r="AH930" s="3"/>
      <c r="AI930" s="3"/>
      <c r="AJ930" s="3"/>
    </row>
    <row r="931" spans="2:36" ht="14.4" x14ac:dyDescent="0.3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4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5"/>
      <c r="AH931" s="3"/>
      <c r="AI931" s="3"/>
      <c r="AJ931" s="3"/>
    </row>
    <row r="932" spans="2:36" ht="14.4" x14ac:dyDescent="0.3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4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5"/>
      <c r="AH932" s="3"/>
      <c r="AI932" s="3"/>
      <c r="AJ932" s="3"/>
    </row>
    <row r="933" spans="2:36" ht="14.4" x14ac:dyDescent="0.3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4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5"/>
      <c r="AH933" s="3"/>
      <c r="AI933" s="3"/>
      <c r="AJ933" s="3"/>
    </row>
    <row r="934" spans="2:36" ht="14.4" x14ac:dyDescent="0.3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4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5"/>
      <c r="AH934" s="3"/>
      <c r="AI934" s="3"/>
      <c r="AJ934" s="3"/>
    </row>
    <row r="935" spans="2:36" ht="14.4" x14ac:dyDescent="0.3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4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5"/>
      <c r="AH935" s="3"/>
      <c r="AI935" s="3"/>
      <c r="AJ935" s="3"/>
    </row>
    <row r="936" spans="2:36" ht="14.4" x14ac:dyDescent="0.3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4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5"/>
      <c r="AH936" s="3"/>
      <c r="AI936" s="3"/>
      <c r="AJ936" s="3"/>
    </row>
    <row r="937" spans="2:36" ht="14.4" x14ac:dyDescent="0.3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4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5"/>
      <c r="AH937" s="3"/>
      <c r="AI937" s="3"/>
      <c r="AJ937" s="3"/>
    </row>
    <row r="938" spans="2:36" ht="14.4" x14ac:dyDescent="0.3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4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5"/>
      <c r="AH938" s="3"/>
      <c r="AI938" s="3"/>
      <c r="AJ938" s="3"/>
    </row>
    <row r="939" spans="2:36" ht="14.4" x14ac:dyDescent="0.3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4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5"/>
      <c r="AH939" s="3"/>
      <c r="AI939" s="3"/>
      <c r="AJ939" s="3"/>
    </row>
    <row r="940" spans="2:36" ht="14.4" x14ac:dyDescent="0.3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4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5"/>
      <c r="AH940" s="3"/>
      <c r="AI940" s="3"/>
      <c r="AJ940" s="3"/>
    </row>
    <row r="941" spans="2:36" ht="14.4" x14ac:dyDescent="0.3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4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5"/>
      <c r="AH941" s="3"/>
      <c r="AI941" s="3"/>
      <c r="AJ941" s="3"/>
    </row>
    <row r="942" spans="2:36" ht="14.4" x14ac:dyDescent="0.3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4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5"/>
      <c r="AH942" s="3"/>
      <c r="AI942" s="3"/>
      <c r="AJ942" s="3"/>
    </row>
    <row r="943" spans="2:36" ht="14.4" x14ac:dyDescent="0.3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4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5"/>
      <c r="AH943" s="3"/>
      <c r="AI943" s="3"/>
      <c r="AJ943" s="3"/>
    </row>
  </sheetData>
  <mergeCells count="23">
    <mergeCell ref="H94:I94"/>
    <mergeCell ref="H95:I95"/>
    <mergeCell ref="G88:H88"/>
    <mergeCell ref="G89:H89"/>
    <mergeCell ref="G90:H90"/>
    <mergeCell ref="G91:H91"/>
    <mergeCell ref="G92:I92"/>
    <mergeCell ref="P92:S92"/>
    <mergeCell ref="C6:C7"/>
    <mergeCell ref="K8:K9"/>
    <mergeCell ref="I85:J85"/>
    <mergeCell ref="P3:X3"/>
    <mergeCell ref="N8:N9"/>
    <mergeCell ref="E3:I3"/>
    <mergeCell ref="G8:H8"/>
    <mergeCell ref="M8:M9"/>
    <mergeCell ref="L8:L9"/>
    <mergeCell ref="P8:P9"/>
    <mergeCell ref="P6:X6"/>
    <mergeCell ref="P83:S83"/>
    <mergeCell ref="P64:S64"/>
    <mergeCell ref="P37:S37"/>
    <mergeCell ref="P85:S85"/>
  </mergeCells>
  <pageMargins left="0.25" right="0.25" top="0.75" bottom="0.75" header="0.3" footer="0.3"/>
  <pageSetup paperSize="3" scale="50" fitToHeight="0" orientation="landscape" r:id="rId1"/>
  <rowBreaks count="1" manualBreakCount="1">
    <brk id="38" max="35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2"/>
  <sheetViews>
    <sheetView zoomScale="75" zoomScaleNormal="75" workbookViewId="0">
      <selection activeCell="F16" sqref="F16"/>
    </sheetView>
  </sheetViews>
  <sheetFormatPr defaultColWidth="10.77734375" defaultRowHeight="13.8" x14ac:dyDescent="0.3"/>
  <cols>
    <col min="1" max="2" width="29.109375" style="284" customWidth="1"/>
    <col min="3" max="6" width="16" style="284" customWidth="1"/>
    <col min="7" max="7" width="10.88671875" style="284" bestFit="1" customWidth="1"/>
    <col min="8" max="8" width="12.109375" style="284" bestFit="1" customWidth="1"/>
    <col min="9" max="9" width="14.33203125" style="284" customWidth="1"/>
    <col min="10" max="10" width="21.77734375" style="284" customWidth="1"/>
    <col min="11" max="11" width="22.88671875" style="284" customWidth="1"/>
    <col min="12" max="12" width="23.21875" style="284" customWidth="1"/>
    <col min="13" max="13" width="28.77734375" style="284" customWidth="1"/>
    <col min="14" max="14" width="26.88671875" style="284" customWidth="1"/>
    <col min="15" max="15" width="4" style="284" customWidth="1"/>
    <col min="16" max="16" width="23.6640625" style="284" customWidth="1"/>
    <col min="17" max="17" width="5.33203125" style="284" customWidth="1"/>
    <col min="18" max="18" width="20" style="284" customWidth="1"/>
    <col min="19" max="19" width="22.88671875" style="284" customWidth="1"/>
    <col min="20" max="16384" width="10.77734375" style="284"/>
  </cols>
  <sheetData>
    <row r="1" spans="1:6" s="283" customFormat="1" ht="23.4" x14ac:dyDescent="0.45">
      <c r="A1" s="563" t="s">
        <v>193</v>
      </c>
      <c r="B1" s="563"/>
      <c r="C1" s="563"/>
      <c r="D1" s="563"/>
      <c r="E1" s="563"/>
      <c r="F1" s="563"/>
    </row>
    <row r="2" spans="1:6" ht="14.4" thickBot="1" x14ac:dyDescent="0.35"/>
    <row r="3" spans="1:6" x14ac:dyDescent="0.3">
      <c r="A3" s="285" t="s">
        <v>189</v>
      </c>
      <c r="B3" s="301"/>
      <c r="C3" s="301"/>
      <c r="D3" s="293"/>
    </row>
    <row r="4" spans="1:6" s="291" customFormat="1" ht="28.2" thickBot="1" x14ac:dyDescent="0.35">
      <c r="A4" s="288"/>
      <c r="B4" s="302" t="s">
        <v>195</v>
      </c>
      <c r="C4" s="302" t="s">
        <v>191</v>
      </c>
      <c r="D4" s="524" t="s">
        <v>26</v>
      </c>
    </row>
    <row r="5" spans="1:6" x14ac:dyDescent="0.3">
      <c r="A5" s="292" t="s">
        <v>188</v>
      </c>
      <c r="B5" s="519">
        <f>N48</f>
        <v>9365876.4000000004</v>
      </c>
      <c r="C5" s="519">
        <f>P48</f>
        <v>41178159.799999997</v>
      </c>
      <c r="D5" s="293"/>
    </row>
    <row r="6" spans="1:6" x14ac:dyDescent="0.3">
      <c r="A6" s="292" t="s">
        <v>180</v>
      </c>
      <c r="B6" s="520">
        <f>N70</f>
        <v>2452952.7450000001</v>
      </c>
      <c r="C6" s="520">
        <f>P70</f>
        <v>10055976.064999999</v>
      </c>
      <c r="D6" s="293"/>
    </row>
    <row r="7" spans="1:6" x14ac:dyDescent="0.3">
      <c r="A7" s="292" t="s">
        <v>194</v>
      </c>
      <c r="B7" s="521">
        <f>N88</f>
        <v>1612690</v>
      </c>
      <c r="C7" s="522">
        <f>P88</f>
        <v>4941250</v>
      </c>
      <c r="D7" s="293"/>
    </row>
    <row r="8" spans="1:6" ht="14.4" thickBot="1" x14ac:dyDescent="0.35">
      <c r="A8" s="294" t="s">
        <v>26</v>
      </c>
      <c r="B8" s="533"/>
      <c r="C8" s="533"/>
      <c r="D8" s="293"/>
    </row>
    <row r="9" spans="1:6" ht="15" thickTop="1" thickBot="1" x14ac:dyDescent="0.35">
      <c r="A9" s="296" t="s">
        <v>187</v>
      </c>
      <c r="B9" s="532">
        <f>SUM(B5:B8)</f>
        <v>13431519.145</v>
      </c>
      <c r="C9" s="532">
        <f>SUM(C5:C8)</f>
        <v>56175385.864999995</v>
      </c>
      <c r="D9" s="293"/>
    </row>
    <row r="10" spans="1:6" x14ac:dyDescent="0.3">
      <c r="A10" s="346" t="s">
        <v>192</v>
      </c>
      <c r="B10" s="347"/>
      <c r="C10" s="523"/>
      <c r="D10" s="293"/>
    </row>
    <row r="11" spans="1:6" ht="6.6" customHeight="1" x14ac:dyDescent="0.3">
      <c r="A11" s="523"/>
      <c r="B11" s="347"/>
      <c r="C11" s="523"/>
      <c r="D11" s="293"/>
    </row>
    <row r="12" spans="1:6" ht="6" customHeight="1" x14ac:dyDescent="0.3">
      <c r="A12" s="523"/>
      <c r="B12" s="347"/>
      <c r="C12" s="523"/>
      <c r="D12" s="293"/>
    </row>
    <row r="13" spans="1:6" ht="14.4" thickBot="1" x14ac:dyDescent="0.35"/>
    <row r="14" spans="1:6" x14ac:dyDescent="0.3">
      <c r="A14" s="298" t="s">
        <v>190</v>
      </c>
      <c r="B14" s="286"/>
      <c r="C14" s="286"/>
      <c r="D14" s="286"/>
      <c r="E14" s="286"/>
      <c r="F14" s="287"/>
    </row>
    <row r="15" spans="1:6" s="300" customFormat="1" ht="28.2" thickBot="1" x14ac:dyDescent="0.35">
      <c r="A15" s="299"/>
      <c r="B15" s="289" t="s">
        <v>306</v>
      </c>
      <c r="C15" s="289" t="s">
        <v>182</v>
      </c>
      <c r="D15" s="289" t="s">
        <v>183</v>
      </c>
      <c r="E15" s="289" t="s">
        <v>184</v>
      </c>
      <c r="F15" s="290" t="s">
        <v>185</v>
      </c>
    </row>
    <row r="16" spans="1:6" x14ac:dyDescent="0.3">
      <c r="A16" s="292" t="s">
        <v>255</v>
      </c>
      <c r="B16" s="293"/>
      <c r="C16" s="526">
        <f>PNA!T37</f>
        <v>301414.05927360005</v>
      </c>
      <c r="D16" s="526">
        <f>PNA!Y37</f>
        <v>8709105.6336525418</v>
      </c>
      <c r="E16" s="526">
        <f>PNA!AD37</f>
        <v>497971.28517992783</v>
      </c>
      <c r="F16" s="527">
        <f>PNA!AI37</f>
        <v>16414517.909674888</v>
      </c>
    </row>
    <row r="17" spans="1:18" x14ac:dyDescent="0.3">
      <c r="A17" s="292" t="s">
        <v>180</v>
      </c>
      <c r="B17" s="293"/>
      <c r="C17" s="522">
        <f>PNA!T64</f>
        <v>0</v>
      </c>
      <c r="D17" s="522">
        <f>PNA!Y64</f>
        <v>4380278.0191619275</v>
      </c>
      <c r="E17" s="522">
        <f>PNA!AD64</f>
        <v>2081789.1457197629</v>
      </c>
      <c r="F17" s="525">
        <f>PNA!AI64</f>
        <v>6898925.2759961439</v>
      </c>
    </row>
    <row r="18" spans="1:18" ht="14.4" thickBot="1" x14ac:dyDescent="0.35">
      <c r="A18" s="294" t="s">
        <v>181</v>
      </c>
      <c r="B18" s="295"/>
      <c r="C18" s="530">
        <f>PNA!T83</f>
        <v>980423.7532416</v>
      </c>
      <c r="D18" s="530">
        <f>PNA!Y83</f>
        <v>694826.81939701154</v>
      </c>
      <c r="E18" s="530">
        <f>PNA!AD83</f>
        <v>339158.82125768054</v>
      </c>
      <c r="F18" s="531">
        <f>PNA!AI83</f>
        <v>0</v>
      </c>
    </row>
    <row r="19" spans="1:18" ht="15" thickTop="1" thickBot="1" x14ac:dyDescent="0.35">
      <c r="A19" s="296" t="s">
        <v>186</v>
      </c>
      <c r="B19" s="297"/>
      <c r="C19" s="528">
        <f>SUM(C16:C18)</f>
        <v>1281837.8125152001</v>
      </c>
      <c r="D19" s="528">
        <f>SUM(D16:D18)</f>
        <v>13784210.472211482</v>
      </c>
      <c r="E19" s="528">
        <f>SUM(E16:E18)</f>
        <v>2918919.2521573715</v>
      </c>
      <c r="F19" s="529">
        <f>SUM(F16:F18)</f>
        <v>23313443.185671031</v>
      </c>
    </row>
    <row r="20" spans="1:18" ht="19.8" customHeight="1" thickBot="1" x14ac:dyDescent="0.4">
      <c r="A20" s="347" t="s">
        <v>307</v>
      </c>
      <c r="J20" s="659" t="s">
        <v>254</v>
      </c>
      <c r="K20" s="660"/>
      <c r="L20" s="661"/>
    </row>
    <row r="21" spans="1:18" ht="7.2" customHeight="1" thickBot="1" x14ac:dyDescent="0.35"/>
    <row r="22" spans="1:18" ht="18" x14ac:dyDescent="0.35">
      <c r="I22" s="293"/>
      <c r="J22" s="320" t="s">
        <v>222</v>
      </c>
      <c r="L22" s="308" t="s">
        <v>197</v>
      </c>
      <c r="M22" s="308" t="s">
        <v>239</v>
      </c>
      <c r="N22" s="318" t="s">
        <v>268</v>
      </c>
      <c r="O22" s="348"/>
      <c r="P22" s="361" t="s">
        <v>269</v>
      </c>
      <c r="Q22" s="348"/>
      <c r="R22" s="348" t="s">
        <v>280</v>
      </c>
    </row>
    <row r="23" spans="1:18" ht="27.6" customHeight="1" x14ac:dyDescent="0.35">
      <c r="A23" s="117" t="s">
        <v>48</v>
      </c>
      <c r="B23" s="32" t="s">
        <v>101</v>
      </c>
      <c r="C23" s="33" t="s">
        <v>92</v>
      </c>
      <c r="D23" s="33" t="s">
        <v>49</v>
      </c>
      <c r="E23" s="33">
        <v>30</v>
      </c>
      <c r="F23" s="34">
        <v>12000</v>
      </c>
      <c r="G23" s="34">
        <v>17000</v>
      </c>
      <c r="H23" s="134">
        <v>15000</v>
      </c>
      <c r="I23" s="45">
        <v>28</v>
      </c>
      <c r="J23" s="321">
        <f t="shared" ref="J23:J28" si="0">H23*I23</f>
        <v>420000</v>
      </c>
      <c r="K23" s="293"/>
      <c r="L23" s="307" t="s">
        <v>196</v>
      </c>
      <c r="M23" s="309">
        <v>8</v>
      </c>
      <c r="N23" s="319">
        <f>H23*8</f>
        <v>120000</v>
      </c>
      <c r="O23" s="349"/>
      <c r="P23" s="362">
        <f>H23*20</f>
        <v>300000</v>
      </c>
      <c r="Q23" s="445"/>
      <c r="R23" s="293"/>
    </row>
    <row r="24" spans="1:18" ht="73.8" customHeight="1" x14ac:dyDescent="0.35">
      <c r="A24" s="117" t="s">
        <v>107</v>
      </c>
      <c r="B24" s="32" t="s">
        <v>103</v>
      </c>
      <c r="C24" s="33" t="s">
        <v>102</v>
      </c>
      <c r="D24" s="33" t="s">
        <v>49</v>
      </c>
      <c r="E24" s="33">
        <v>30</v>
      </c>
      <c r="F24" s="34">
        <v>250000</v>
      </c>
      <c r="G24" s="34">
        <v>350000</v>
      </c>
      <c r="H24" s="134">
        <v>300000</v>
      </c>
      <c r="I24" s="45">
        <v>60</v>
      </c>
      <c r="J24" s="321">
        <f t="shared" si="0"/>
        <v>18000000</v>
      </c>
      <c r="K24" s="293"/>
      <c r="L24" s="307" t="s">
        <v>198</v>
      </c>
      <c r="M24" s="309">
        <v>10</v>
      </c>
      <c r="N24" s="319">
        <f>H24*M24</f>
        <v>3000000</v>
      </c>
      <c r="O24" s="349"/>
      <c r="P24" s="362">
        <v>15000000</v>
      </c>
      <c r="Q24" s="445"/>
      <c r="R24" s="293"/>
    </row>
    <row r="25" spans="1:18" ht="154.80000000000001" customHeight="1" x14ac:dyDescent="0.35">
      <c r="A25" s="117" t="s">
        <v>226</v>
      </c>
      <c r="B25" s="32" t="s">
        <v>224</v>
      </c>
      <c r="C25" s="33" t="s">
        <v>92</v>
      </c>
      <c r="D25" s="33" t="s">
        <v>228</v>
      </c>
      <c r="E25" s="33">
        <v>30</v>
      </c>
      <c r="F25" s="34">
        <v>60000</v>
      </c>
      <c r="G25" s="34">
        <v>80000</v>
      </c>
      <c r="H25" s="134">
        <v>70000</v>
      </c>
      <c r="I25" s="45">
        <v>24</v>
      </c>
      <c r="J25" s="321">
        <f t="shared" si="0"/>
        <v>1680000</v>
      </c>
      <c r="K25" s="293"/>
      <c r="L25" s="307" t="s">
        <v>229</v>
      </c>
      <c r="M25" s="309">
        <v>4</v>
      </c>
      <c r="N25" s="319">
        <f>H25*M25</f>
        <v>280000</v>
      </c>
      <c r="O25" s="349"/>
      <c r="P25" s="362">
        <f>J25-N25</f>
        <v>1400000</v>
      </c>
      <c r="Q25" s="445"/>
      <c r="R25" s="293"/>
    </row>
    <row r="26" spans="1:18" ht="31.2" customHeight="1" x14ac:dyDescent="0.35">
      <c r="A26" s="117" t="s">
        <v>50</v>
      </c>
      <c r="B26" s="32" t="s">
        <v>96</v>
      </c>
      <c r="C26" s="33" t="s">
        <v>92</v>
      </c>
      <c r="D26" s="33" t="s">
        <v>49</v>
      </c>
      <c r="E26" s="33">
        <v>0</v>
      </c>
      <c r="F26" s="34">
        <v>1800</v>
      </c>
      <c r="G26" s="34">
        <v>2500</v>
      </c>
      <c r="H26" s="134">
        <v>2150</v>
      </c>
      <c r="I26" s="45">
        <v>140</v>
      </c>
      <c r="J26" s="321">
        <f t="shared" si="0"/>
        <v>301000</v>
      </c>
      <c r="K26" s="293"/>
      <c r="L26" s="307"/>
      <c r="M26" s="309">
        <v>30</v>
      </c>
      <c r="N26" s="319">
        <f>H26*M26</f>
        <v>64500</v>
      </c>
      <c r="O26" s="349"/>
      <c r="P26" s="362">
        <f>J26-N26</f>
        <v>236500</v>
      </c>
      <c r="Q26" s="445"/>
      <c r="R26" s="293"/>
    </row>
    <row r="27" spans="1:18" ht="28.8" customHeight="1" x14ac:dyDescent="0.35">
      <c r="A27" s="117" t="s">
        <v>51</v>
      </c>
      <c r="B27" s="32" t="s">
        <v>173</v>
      </c>
      <c r="C27" s="33" t="s">
        <v>92</v>
      </c>
      <c r="D27" s="33" t="s">
        <v>49</v>
      </c>
      <c r="E27" s="33">
        <v>0</v>
      </c>
      <c r="F27" s="34">
        <v>45000</v>
      </c>
      <c r="G27" s="34">
        <v>55000</v>
      </c>
      <c r="H27" s="134">
        <v>50000</v>
      </c>
      <c r="I27" s="45">
        <v>6</v>
      </c>
      <c r="J27" s="321">
        <f t="shared" si="0"/>
        <v>300000</v>
      </c>
      <c r="K27" s="293"/>
      <c r="L27" s="307" t="s">
        <v>200</v>
      </c>
      <c r="M27" s="309"/>
      <c r="N27" s="319">
        <v>66500</v>
      </c>
      <c r="O27" s="349"/>
      <c r="P27" s="362">
        <f>J27-N27</f>
        <v>233500</v>
      </c>
      <c r="Q27" s="445"/>
      <c r="R27" s="293"/>
    </row>
    <row r="28" spans="1:18" ht="28.8" customHeight="1" x14ac:dyDescent="0.35">
      <c r="A28" s="207" t="s">
        <v>175</v>
      </c>
      <c r="B28" s="32" t="s">
        <v>240</v>
      </c>
      <c r="C28" s="33" t="s">
        <v>89</v>
      </c>
      <c r="D28" s="33">
        <v>10</v>
      </c>
      <c r="E28" s="33">
        <v>0</v>
      </c>
      <c r="F28" s="34">
        <v>4</v>
      </c>
      <c r="G28" s="34">
        <v>5</v>
      </c>
      <c r="H28" s="134">
        <v>4.5</v>
      </c>
      <c r="I28" s="45">
        <v>295000</v>
      </c>
      <c r="J28" s="321">
        <f t="shared" si="0"/>
        <v>1327500</v>
      </c>
      <c r="K28" s="293"/>
      <c r="L28" s="307" t="s">
        <v>299</v>
      </c>
      <c r="M28" s="309"/>
      <c r="N28" s="319">
        <f>J28</f>
        <v>1327500</v>
      </c>
      <c r="O28" s="349"/>
      <c r="P28" s="362" t="s">
        <v>26</v>
      </c>
      <c r="Q28" s="445"/>
      <c r="R28" s="293"/>
    </row>
    <row r="29" spans="1:18" ht="31.2" customHeight="1" x14ac:dyDescent="0.35">
      <c r="A29" s="133" t="s">
        <v>176</v>
      </c>
      <c r="B29" s="32" t="s">
        <v>95</v>
      </c>
      <c r="C29" s="33" t="s">
        <v>89</v>
      </c>
      <c r="D29" s="33">
        <v>10</v>
      </c>
      <c r="E29" s="33">
        <v>0</v>
      </c>
      <c r="F29" s="34">
        <v>4</v>
      </c>
      <c r="G29" s="34">
        <v>5</v>
      </c>
      <c r="H29" s="134">
        <v>4.5</v>
      </c>
      <c r="I29" s="45">
        <v>250000</v>
      </c>
      <c r="J29" s="321">
        <f>5*H29*I29</f>
        <v>5625000</v>
      </c>
      <c r="K29" s="293"/>
      <c r="L29" s="307" t="s">
        <v>300</v>
      </c>
      <c r="M29" s="309"/>
      <c r="N29" s="319"/>
      <c r="O29" s="349"/>
      <c r="P29" s="362">
        <f>J29</f>
        <v>5625000</v>
      </c>
      <c r="Q29" s="445"/>
      <c r="R29" s="293"/>
    </row>
    <row r="30" spans="1:18" ht="33.6" customHeight="1" x14ac:dyDescent="0.35">
      <c r="A30" s="117" t="s">
        <v>90</v>
      </c>
      <c r="B30" s="32" t="s">
        <v>93</v>
      </c>
      <c r="C30" s="33" t="s">
        <v>89</v>
      </c>
      <c r="D30" s="33">
        <v>20</v>
      </c>
      <c r="E30" s="33">
        <v>5</v>
      </c>
      <c r="F30" s="34">
        <v>50</v>
      </c>
      <c r="G30" s="34">
        <v>70</v>
      </c>
      <c r="H30" s="134">
        <v>60</v>
      </c>
      <c r="I30" s="45">
        <v>9600</v>
      </c>
      <c r="J30" s="321">
        <f>I30*H30</f>
        <v>576000</v>
      </c>
      <c r="K30" s="293"/>
      <c r="L30" s="307" t="s">
        <v>301</v>
      </c>
      <c r="M30" s="309"/>
      <c r="N30" s="319">
        <f>J30</f>
        <v>576000</v>
      </c>
      <c r="O30" s="349"/>
      <c r="P30" s="362" t="s">
        <v>26</v>
      </c>
      <c r="Q30" s="445"/>
      <c r="R30" s="293"/>
    </row>
    <row r="31" spans="1:18" ht="31.8" customHeight="1" x14ac:dyDescent="0.35">
      <c r="A31" s="117" t="s">
        <v>91</v>
      </c>
      <c r="B31" s="32" t="s">
        <v>94</v>
      </c>
      <c r="C31" s="33" t="s">
        <v>89</v>
      </c>
      <c r="D31" s="33">
        <v>20</v>
      </c>
      <c r="E31" s="33">
        <v>5</v>
      </c>
      <c r="F31" s="34">
        <v>50</v>
      </c>
      <c r="G31" s="34">
        <v>70</v>
      </c>
      <c r="H31" s="134">
        <v>65</v>
      </c>
      <c r="I31" s="45">
        <v>7200</v>
      </c>
      <c r="J31" s="321">
        <f>5*H31*I31</f>
        <v>2340000</v>
      </c>
      <c r="K31" s="293"/>
      <c r="L31" s="307" t="s">
        <v>300</v>
      </c>
      <c r="M31" s="309"/>
      <c r="N31" s="319"/>
      <c r="O31" s="349"/>
      <c r="P31" s="362">
        <f>J31</f>
        <v>2340000</v>
      </c>
      <c r="Q31" s="445"/>
      <c r="R31" s="293"/>
    </row>
    <row r="32" spans="1:18" ht="19.8" customHeight="1" x14ac:dyDescent="0.35">
      <c r="A32" s="367"/>
      <c r="B32" s="305" t="s">
        <v>231</v>
      </c>
      <c r="C32" s="304" t="s">
        <v>92</v>
      </c>
      <c r="D32" s="304">
        <v>20</v>
      </c>
      <c r="E32" s="304">
        <v>0</v>
      </c>
      <c r="F32" s="306">
        <v>8000</v>
      </c>
      <c r="G32" s="306">
        <v>10000</v>
      </c>
      <c r="H32" s="368">
        <v>9000</v>
      </c>
      <c r="I32" s="369">
        <v>104</v>
      </c>
      <c r="J32" s="321">
        <f>H32*I32</f>
        <v>936000</v>
      </c>
      <c r="K32" s="293"/>
      <c r="L32" s="307"/>
      <c r="M32" s="309">
        <v>24</v>
      </c>
      <c r="N32" s="319">
        <f>H32*M32</f>
        <v>216000</v>
      </c>
      <c r="O32" s="349"/>
      <c r="P32" s="362">
        <f>J32-N32</f>
        <v>720000</v>
      </c>
      <c r="Q32" s="445"/>
      <c r="R32" s="293"/>
    </row>
    <row r="33" spans="1:21" ht="27.6" x14ac:dyDescent="0.35">
      <c r="A33" s="169" t="s">
        <v>164</v>
      </c>
      <c r="B33" s="131" t="s">
        <v>165</v>
      </c>
      <c r="C33" s="78" t="s">
        <v>92</v>
      </c>
      <c r="D33" s="78">
        <v>50</v>
      </c>
      <c r="E33" s="78">
        <v>0</v>
      </c>
      <c r="F33" s="79">
        <v>70000</v>
      </c>
      <c r="G33" s="79">
        <v>100000</v>
      </c>
      <c r="H33" s="80">
        <v>85000</v>
      </c>
      <c r="I33" s="303">
        <v>6</v>
      </c>
      <c r="J33" s="322">
        <f>H33*I33</f>
        <v>510000</v>
      </c>
      <c r="K33" s="293"/>
      <c r="L33" s="307" t="s">
        <v>199</v>
      </c>
      <c r="M33" s="309"/>
      <c r="N33" s="319">
        <v>113050</v>
      </c>
      <c r="O33" s="349"/>
      <c r="P33" s="362">
        <f>J33-N33</f>
        <v>396950</v>
      </c>
      <c r="Q33" s="445"/>
      <c r="R33" s="293"/>
    </row>
    <row r="34" spans="1:21" ht="18" x14ac:dyDescent="0.35">
      <c r="A34" s="91" t="s">
        <v>60</v>
      </c>
      <c r="B34" s="131" t="s">
        <v>162</v>
      </c>
      <c r="C34" s="78" t="s">
        <v>92</v>
      </c>
      <c r="D34" s="78">
        <v>25</v>
      </c>
      <c r="E34" s="78">
        <v>5</v>
      </c>
      <c r="F34" s="79">
        <v>35000</v>
      </c>
      <c r="G34" s="79">
        <v>45000</v>
      </c>
      <c r="H34" s="80">
        <v>40000</v>
      </c>
      <c r="I34" s="303">
        <v>6</v>
      </c>
      <c r="J34" s="322" t="s">
        <v>130</v>
      </c>
      <c r="K34" s="293"/>
      <c r="L34" s="307" t="s">
        <v>26</v>
      </c>
      <c r="M34" s="309" t="s">
        <v>241</v>
      </c>
      <c r="N34" s="319"/>
      <c r="O34" s="349"/>
      <c r="P34" s="362"/>
      <c r="Q34" s="445"/>
      <c r="R34" s="293"/>
    </row>
    <row r="35" spans="1:21" ht="29.4" customHeight="1" x14ac:dyDescent="0.35">
      <c r="A35" s="169" t="s">
        <v>61</v>
      </c>
      <c r="B35" s="131" t="s">
        <v>161</v>
      </c>
      <c r="C35" s="78" t="s">
        <v>89</v>
      </c>
      <c r="D35" s="78">
        <v>50</v>
      </c>
      <c r="E35" s="78">
        <v>15</v>
      </c>
      <c r="F35" s="79">
        <v>2</v>
      </c>
      <c r="G35" s="79">
        <v>8</v>
      </c>
      <c r="H35" s="80">
        <v>5</v>
      </c>
      <c r="I35" s="303">
        <v>179186</v>
      </c>
      <c r="J35" s="380">
        <f>H35*I35</f>
        <v>895930</v>
      </c>
      <c r="K35" s="293"/>
      <c r="L35" s="307"/>
      <c r="M35" s="158" t="s">
        <v>207</v>
      </c>
      <c r="N35" s="319">
        <f>37724*H35</f>
        <v>188620</v>
      </c>
      <c r="O35" s="349"/>
      <c r="P35" s="362">
        <f>J35-N35</f>
        <v>707310</v>
      </c>
      <c r="Q35" s="445"/>
      <c r="R35" s="293"/>
    </row>
    <row r="36" spans="1:21" ht="27.6" x14ac:dyDescent="0.35">
      <c r="A36" s="91" t="s">
        <v>163</v>
      </c>
      <c r="B36" s="131" t="s">
        <v>158</v>
      </c>
      <c r="C36" s="78" t="s">
        <v>92</v>
      </c>
      <c r="D36" s="78">
        <v>40</v>
      </c>
      <c r="E36" s="78">
        <v>15</v>
      </c>
      <c r="F36" s="79">
        <v>35000</v>
      </c>
      <c r="G36" s="79">
        <v>45000</v>
      </c>
      <c r="H36" s="80">
        <v>40000</v>
      </c>
      <c r="I36" s="303">
        <v>6</v>
      </c>
      <c r="J36" s="321" t="s">
        <v>26</v>
      </c>
      <c r="K36" s="293"/>
      <c r="L36" s="307"/>
      <c r="M36" s="309" t="s">
        <v>241</v>
      </c>
      <c r="N36" s="319"/>
      <c r="O36" s="349"/>
      <c r="P36" s="362"/>
      <c r="Q36" s="445"/>
      <c r="R36" s="293"/>
    </row>
    <row r="37" spans="1:21" ht="41.4" customHeight="1" x14ac:dyDescent="0.35">
      <c r="A37" s="91" t="s">
        <v>84</v>
      </c>
      <c r="B37" s="131" t="s">
        <v>113</v>
      </c>
      <c r="C37" s="78" t="s">
        <v>92</v>
      </c>
      <c r="D37" s="78">
        <v>25</v>
      </c>
      <c r="E37" s="78">
        <v>0</v>
      </c>
      <c r="F37" s="79">
        <v>6000</v>
      </c>
      <c r="G37" s="79">
        <v>10000</v>
      </c>
      <c r="H37" s="80">
        <v>8000</v>
      </c>
      <c r="I37" s="303">
        <v>6</v>
      </c>
      <c r="J37" s="321" t="s">
        <v>26</v>
      </c>
      <c r="K37" s="293"/>
      <c r="L37" s="307"/>
      <c r="M37" s="309" t="s">
        <v>241</v>
      </c>
      <c r="N37" s="319"/>
      <c r="O37" s="349"/>
      <c r="P37" s="362"/>
      <c r="Q37" s="445"/>
      <c r="R37" s="293"/>
    </row>
    <row r="38" spans="1:21" ht="86.4" customHeight="1" x14ac:dyDescent="0.35">
      <c r="A38" s="91" t="s">
        <v>114</v>
      </c>
      <c r="B38" s="131" t="s">
        <v>152</v>
      </c>
      <c r="C38" s="78" t="s">
        <v>92</v>
      </c>
      <c r="D38" s="78" t="s">
        <v>49</v>
      </c>
      <c r="E38" s="78">
        <v>20</v>
      </c>
      <c r="F38" s="79">
        <v>4000</v>
      </c>
      <c r="G38" s="79">
        <v>6000</v>
      </c>
      <c r="H38" s="80">
        <v>5000</v>
      </c>
      <c r="I38" s="303">
        <v>6</v>
      </c>
      <c r="J38" s="321">
        <f>H38*I38</f>
        <v>30000</v>
      </c>
      <c r="K38" s="293"/>
      <c r="L38" s="307"/>
      <c r="M38" s="583" t="s">
        <v>242</v>
      </c>
      <c r="N38" s="319">
        <v>6650</v>
      </c>
      <c r="O38" s="349"/>
      <c r="P38" s="362">
        <f>J38-N38</f>
        <v>23350</v>
      </c>
      <c r="Q38" s="445"/>
      <c r="R38" s="293"/>
    </row>
    <row r="39" spans="1:21" ht="21" customHeight="1" x14ac:dyDescent="0.35">
      <c r="A39" s="91" t="s">
        <v>62</v>
      </c>
      <c r="B39" s="131" t="s">
        <v>129</v>
      </c>
      <c r="C39" s="78" t="s">
        <v>92</v>
      </c>
      <c r="D39" s="78">
        <v>25</v>
      </c>
      <c r="E39" s="78">
        <v>0</v>
      </c>
      <c r="F39" s="79">
        <v>6000</v>
      </c>
      <c r="G39" s="79">
        <v>10000</v>
      </c>
      <c r="H39" s="80">
        <v>8000</v>
      </c>
      <c r="I39" s="303">
        <v>6</v>
      </c>
      <c r="J39" s="321">
        <f>H39*I39</f>
        <v>48000</v>
      </c>
      <c r="K39" s="293"/>
      <c r="L39" s="307"/>
      <c r="M39" s="583"/>
      <c r="N39" s="319">
        <v>10640</v>
      </c>
      <c r="O39" s="349"/>
      <c r="P39" s="362">
        <f>J39-N39</f>
        <v>37360</v>
      </c>
      <c r="Q39" s="445"/>
      <c r="R39" s="293"/>
    </row>
    <row r="40" spans="1:21" ht="30" customHeight="1" x14ac:dyDescent="0.35">
      <c r="A40" s="169" t="s">
        <v>154</v>
      </c>
      <c r="B40" s="131" t="s">
        <v>155</v>
      </c>
      <c r="C40" s="78" t="s">
        <v>92</v>
      </c>
      <c r="D40" s="78">
        <v>40</v>
      </c>
      <c r="E40" s="78">
        <v>40</v>
      </c>
      <c r="F40" s="79">
        <v>62000</v>
      </c>
      <c r="G40" s="79">
        <v>80000</v>
      </c>
      <c r="H40" s="80">
        <v>70000</v>
      </c>
      <c r="I40" s="303">
        <v>6</v>
      </c>
      <c r="J40" s="321" t="s">
        <v>26</v>
      </c>
      <c r="K40" s="293"/>
      <c r="L40" s="307"/>
      <c r="M40" s="583" t="s">
        <v>335</v>
      </c>
      <c r="N40" s="319"/>
      <c r="O40" s="349"/>
      <c r="P40" s="362"/>
      <c r="Q40" s="445"/>
      <c r="R40" s="293"/>
    </row>
    <row r="41" spans="1:21" ht="31.2" customHeight="1" x14ac:dyDescent="0.35">
      <c r="A41" s="91" t="s">
        <v>153</v>
      </c>
      <c r="B41" s="131" t="s">
        <v>160</v>
      </c>
      <c r="C41" s="78" t="s">
        <v>92</v>
      </c>
      <c r="D41" s="78">
        <v>40</v>
      </c>
      <c r="E41" s="78">
        <v>15</v>
      </c>
      <c r="F41" s="79">
        <v>8000</v>
      </c>
      <c r="G41" s="79">
        <v>12000</v>
      </c>
      <c r="H41" s="80">
        <v>10000</v>
      </c>
      <c r="I41" s="303">
        <v>140</v>
      </c>
      <c r="J41" s="321">
        <f t="shared" ref="J41" si="1">H41*I41</f>
        <v>1400000</v>
      </c>
      <c r="K41" s="293"/>
      <c r="L41" s="307"/>
      <c r="M41" s="583" t="s">
        <v>337</v>
      </c>
      <c r="N41" s="319">
        <v>300000</v>
      </c>
      <c r="O41" s="349"/>
      <c r="P41" s="362">
        <v>1100000</v>
      </c>
      <c r="Q41" s="445"/>
      <c r="R41" s="293"/>
    </row>
    <row r="42" spans="1:21" ht="42" customHeight="1" x14ac:dyDescent="0.35">
      <c r="A42" s="91" t="s">
        <v>157</v>
      </c>
      <c r="B42" s="131" t="s">
        <v>156</v>
      </c>
      <c r="C42" s="78" t="s">
        <v>92</v>
      </c>
      <c r="D42" s="78">
        <v>40</v>
      </c>
      <c r="E42" s="78">
        <v>40</v>
      </c>
      <c r="F42" s="79">
        <v>60000</v>
      </c>
      <c r="G42" s="79">
        <v>100000</v>
      </c>
      <c r="H42" s="80">
        <v>80000</v>
      </c>
      <c r="I42" s="303">
        <v>6</v>
      </c>
      <c r="J42" s="321"/>
      <c r="K42" s="293"/>
      <c r="L42" s="307"/>
      <c r="M42" s="583" t="s">
        <v>336</v>
      </c>
      <c r="N42" s="319"/>
      <c r="O42" s="349"/>
      <c r="P42" s="362"/>
      <c r="Q42" s="445"/>
      <c r="R42" s="293"/>
      <c r="S42" s="386">
        <v>624000</v>
      </c>
      <c r="T42" s="387" t="s">
        <v>258</v>
      </c>
      <c r="U42" s="388"/>
    </row>
    <row r="43" spans="1:21" ht="26.4" customHeight="1" x14ac:dyDescent="0.35">
      <c r="A43" s="91" t="s">
        <v>63</v>
      </c>
      <c r="B43" s="131" t="s">
        <v>177</v>
      </c>
      <c r="C43" s="78"/>
      <c r="D43" s="78">
        <v>15</v>
      </c>
      <c r="E43" s="78">
        <v>15</v>
      </c>
      <c r="F43" s="79"/>
      <c r="G43" s="79"/>
      <c r="H43" s="80" t="s">
        <v>130</v>
      </c>
      <c r="I43" s="303"/>
      <c r="J43" s="321" t="s">
        <v>26</v>
      </c>
      <c r="K43" s="293"/>
      <c r="L43" s="307"/>
      <c r="M43" s="583" t="s">
        <v>243</v>
      </c>
      <c r="N43" s="319"/>
      <c r="O43" s="349"/>
      <c r="P43" s="362"/>
      <c r="Q43" s="445"/>
      <c r="R43" s="293"/>
      <c r="S43" s="389">
        <v>3000000</v>
      </c>
      <c r="T43" s="293"/>
      <c r="U43" s="390"/>
    </row>
    <row r="44" spans="1:21" ht="25.2" customHeight="1" thickBot="1" x14ac:dyDescent="0.4">
      <c r="A44" s="91" t="s">
        <v>64</v>
      </c>
      <c r="B44" s="131" t="s">
        <v>178</v>
      </c>
      <c r="C44" s="78"/>
      <c r="D44" s="78">
        <v>10</v>
      </c>
      <c r="E44" s="78">
        <v>5</v>
      </c>
      <c r="F44" s="79"/>
      <c r="G44" s="79"/>
      <c r="H44" s="80" t="s">
        <v>130</v>
      </c>
      <c r="I44" s="303" t="s">
        <v>26</v>
      </c>
      <c r="J44" s="321" t="s">
        <v>26</v>
      </c>
      <c r="K44" s="293"/>
      <c r="L44" s="307"/>
      <c r="M44" s="583" t="s">
        <v>241</v>
      </c>
      <c r="N44" s="319"/>
      <c r="O44" s="349"/>
      <c r="P44" s="362"/>
      <c r="Q44" s="445"/>
      <c r="R44" s="293"/>
      <c r="S44" s="391">
        <v>120000</v>
      </c>
      <c r="T44" s="293"/>
      <c r="U44" s="390"/>
    </row>
    <row r="45" spans="1:21" ht="26.4" customHeight="1" thickTop="1" x14ac:dyDescent="0.35">
      <c r="A45" s="91" t="s">
        <v>88</v>
      </c>
      <c r="B45" s="131" t="s">
        <v>159</v>
      </c>
      <c r="C45" s="78" t="s">
        <v>92</v>
      </c>
      <c r="D45" s="78">
        <v>50</v>
      </c>
      <c r="E45" s="78">
        <v>0</v>
      </c>
      <c r="F45" s="79">
        <v>400000</v>
      </c>
      <c r="G45" s="79">
        <v>600000</v>
      </c>
      <c r="H45" s="80">
        <v>500000</v>
      </c>
      <c r="I45" s="303">
        <v>6</v>
      </c>
      <c r="J45" s="321">
        <f t="shared" ref="J45:J46" si="2">H45*I45</f>
        <v>3000000</v>
      </c>
      <c r="K45" s="293"/>
      <c r="L45" s="307" t="s">
        <v>201</v>
      </c>
      <c r="M45" s="583"/>
      <c r="N45" s="319">
        <v>665000</v>
      </c>
      <c r="O45" s="349"/>
      <c r="P45" s="362">
        <f>J45-N45</f>
        <v>2335000</v>
      </c>
      <c r="Q45" s="445"/>
      <c r="R45" s="293"/>
      <c r="S45" s="389">
        <f>SUM(S42:S44)</f>
        <v>3744000</v>
      </c>
      <c r="T45" s="293"/>
      <c r="U45" s="390"/>
    </row>
    <row r="46" spans="1:21" ht="34.799999999999997" customHeight="1" thickBot="1" x14ac:dyDescent="0.4">
      <c r="A46" s="91" t="s">
        <v>147</v>
      </c>
      <c r="B46" s="131" t="s">
        <v>238</v>
      </c>
      <c r="C46" s="78" t="s">
        <v>92</v>
      </c>
      <c r="D46" s="78">
        <v>0</v>
      </c>
      <c r="E46" s="78">
        <v>30</v>
      </c>
      <c r="F46" s="79">
        <v>50000</v>
      </c>
      <c r="G46" s="79">
        <v>65000</v>
      </c>
      <c r="H46" s="80">
        <v>55000</v>
      </c>
      <c r="I46" s="303">
        <v>6</v>
      </c>
      <c r="J46" s="323">
        <f t="shared" si="2"/>
        <v>330000</v>
      </c>
      <c r="K46" s="293"/>
      <c r="L46" s="307"/>
      <c r="M46" s="309">
        <v>1</v>
      </c>
      <c r="N46" s="566">
        <v>55000</v>
      </c>
      <c r="O46" s="350"/>
      <c r="P46" s="436">
        <f>J46-N46</f>
        <v>275000</v>
      </c>
      <c r="Q46" s="445"/>
      <c r="R46" s="293"/>
      <c r="S46" s="392">
        <f>N47-S45</f>
        <v>3245460</v>
      </c>
      <c r="T46" s="293" t="s">
        <v>256</v>
      </c>
      <c r="U46" s="390"/>
    </row>
    <row r="47" spans="1:21" ht="27" customHeight="1" thickBot="1" x14ac:dyDescent="0.45">
      <c r="A47" s="304"/>
      <c r="B47" s="305"/>
      <c r="C47" s="304"/>
      <c r="D47" s="304"/>
      <c r="E47" s="304"/>
      <c r="F47" s="306"/>
      <c r="G47" s="306"/>
      <c r="H47" s="662" t="s">
        <v>230</v>
      </c>
      <c r="I47" s="663"/>
      <c r="J47" s="381">
        <f>SUM(J23:J46)</f>
        <v>37719430</v>
      </c>
      <c r="K47" s="582">
        <f>J47*1.34</f>
        <v>50544036.200000003</v>
      </c>
      <c r="L47" s="311"/>
      <c r="M47" s="564" t="s">
        <v>267</v>
      </c>
      <c r="N47" s="567">
        <f>SUM(N23:N46)</f>
        <v>6989460</v>
      </c>
      <c r="O47" s="435"/>
      <c r="P47" s="437">
        <f>SUM(P23:P46)</f>
        <v>30729970</v>
      </c>
      <c r="Q47" s="326"/>
      <c r="R47" s="345">
        <f>N47+P47</f>
        <v>37719430</v>
      </c>
      <c r="S47" s="393">
        <f>S46/20</f>
        <v>162273</v>
      </c>
      <c r="T47" s="295" t="s">
        <v>257</v>
      </c>
      <c r="U47" s="394"/>
    </row>
    <row r="48" spans="1:21" ht="34.799999999999997" customHeight="1" thickBot="1" x14ac:dyDescent="0.45">
      <c r="A48" s="304" t="s">
        <v>302</v>
      </c>
      <c r="B48" s="305"/>
      <c r="C48" s="304"/>
      <c r="D48" s="304"/>
      <c r="E48" s="304"/>
      <c r="F48" s="306"/>
      <c r="G48" s="306"/>
      <c r="H48" s="54"/>
      <c r="I48" s="53"/>
      <c r="J48" s="172"/>
      <c r="K48" s="293"/>
      <c r="L48" s="311"/>
      <c r="M48" s="565" t="s">
        <v>274</v>
      </c>
      <c r="N48" s="573">
        <f>(N47*L102)+N47</f>
        <v>9365876.4000000004</v>
      </c>
      <c r="O48" s="434"/>
      <c r="P48" s="574">
        <f>(P47*L102)+P47</f>
        <v>41178159.799999997</v>
      </c>
      <c r="Q48" s="434"/>
      <c r="R48" s="450">
        <f>N48+P48</f>
        <v>50544036.199999996</v>
      </c>
      <c r="S48" s="382" t="s">
        <v>26</v>
      </c>
    </row>
    <row r="49" spans="1:18" ht="18.600000000000001" customHeight="1" thickBot="1" x14ac:dyDescent="0.4">
      <c r="A49" s="304"/>
      <c r="B49" s="305"/>
      <c r="C49" s="304"/>
      <c r="D49" s="304"/>
      <c r="E49" s="304"/>
      <c r="F49" s="306"/>
      <c r="G49" s="306"/>
      <c r="H49" s="54"/>
      <c r="I49" s="53"/>
      <c r="J49" s="172"/>
      <c r="K49" s="293"/>
      <c r="L49" s="311"/>
      <c r="M49" s="311"/>
      <c r="N49" s="326"/>
      <c r="O49" s="326"/>
      <c r="P49" s="326"/>
      <c r="Q49" s="326"/>
      <c r="R49" s="293"/>
    </row>
    <row r="50" spans="1:18" ht="18.600000000000001" thickBot="1" x14ac:dyDescent="0.4">
      <c r="A50" s="293"/>
      <c r="B50" s="293"/>
      <c r="C50" s="293"/>
      <c r="D50" s="293"/>
      <c r="E50" s="293"/>
      <c r="F50" s="293"/>
      <c r="G50" s="293"/>
      <c r="H50" s="293"/>
      <c r="I50" s="293"/>
      <c r="J50" s="293"/>
      <c r="K50" s="395" t="s">
        <v>204</v>
      </c>
      <c r="L50" s="311"/>
      <c r="M50" s="311"/>
      <c r="N50" s="568" t="s">
        <v>270</v>
      </c>
      <c r="O50" s="326"/>
      <c r="P50" s="432" t="s">
        <v>271</v>
      </c>
      <c r="Q50" s="326"/>
      <c r="R50" s="293"/>
    </row>
    <row r="51" spans="1:18" ht="40.799999999999997" x14ac:dyDescent="0.35">
      <c r="A51" s="131" t="s">
        <v>326</v>
      </c>
      <c r="B51" s="131" t="s">
        <v>305</v>
      </c>
      <c r="C51" s="78" t="s">
        <v>92</v>
      </c>
      <c r="D51" s="78">
        <v>20</v>
      </c>
      <c r="E51" s="508">
        <v>0</v>
      </c>
      <c r="F51" s="79">
        <v>12000</v>
      </c>
      <c r="G51" s="79">
        <v>20000</v>
      </c>
      <c r="H51" s="397">
        <v>18000</v>
      </c>
      <c r="I51" s="398">
        <v>14</v>
      </c>
      <c r="J51" s="175" t="s">
        <v>26</v>
      </c>
      <c r="K51" s="370" t="s">
        <v>26</v>
      </c>
      <c r="L51" s="328"/>
      <c r="M51" s="309" t="s">
        <v>328</v>
      </c>
      <c r="N51" s="399" t="s">
        <v>26</v>
      </c>
      <c r="O51" s="351"/>
      <c r="P51" s="362" t="s">
        <v>26</v>
      </c>
      <c r="Q51" s="445"/>
      <c r="R51" s="293"/>
    </row>
    <row r="52" spans="1:18" ht="40.799999999999997" x14ac:dyDescent="0.35">
      <c r="A52" s="120" t="s">
        <v>327</v>
      </c>
      <c r="B52" s="131" t="s">
        <v>305</v>
      </c>
      <c r="C52" s="396" t="s">
        <v>92</v>
      </c>
      <c r="D52" s="396">
        <v>20</v>
      </c>
      <c r="E52" s="509">
        <v>0</v>
      </c>
      <c r="F52" s="79">
        <v>5000</v>
      </c>
      <c r="G52" s="79">
        <v>8000</v>
      </c>
      <c r="H52" s="397">
        <v>6000</v>
      </c>
      <c r="I52" s="398">
        <v>14</v>
      </c>
      <c r="J52" s="54" t="s">
        <v>26</v>
      </c>
      <c r="K52" s="370" t="s">
        <v>26</v>
      </c>
      <c r="L52" s="385" t="s">
        <v>250</v>
      </c>
      <c r="M52" s="309" t="s">
        <v>328</v>
      </c>
      <c r="N52" s="400" t="s">
        <v>26</v>
      </c>
      <c r="O52" s="349"/>
      <c r="P52" s="362" t="s">
        <v>26</v>
      </c>
      <c r="Q52" s="445"/>
      <c r="R52" s="293"/>
    </row>
    <row r="53" spans="1:18" ht="18" x14ac:dyDescent="0.35">
      <c r="A53" s="117"/>
      <c r="B53" s="32" t="s">
        <v>232</v>
      </c>
      <c r="C53" s="33" t="s">
        <v>234</v>
      </c>
      <c r="D53" s="33">
        <v>7</v>
      </c>
      <c r="E53" s="510">
        <v>0</v>
      </c>
      <c r="F53" s="79">
        <v>13</v>
      </c>
      <c r="G53" s="79">
        <v>18</v>
      </c>
      <c r="H53" s="397">
        <v>15</v>
      </c>
      <c r="I53" s="398">
        <f>179186*0.75</f>
        <v>134389.5</v>
      </c>
      <c r="J53" s="54" t="s">
        <v>244</v>
      </c>
      <c r="K53" s="372">
        <f>H53*I53</f>
        <v>2015842.5</v>
      </c>
      <c r="L53" s="384">
        <f>K53/140</f>
        <v>14398.875</v>
      </c>
      <c r="M53" s="309" t="s">
        <v>245</v>
      </c>
      <c r="N53" s="319">
        <f>L53*30</f>
        <v>431966.25</v>
      </c>
      <c r="O53" s="349"/>
      <c r="P53" s="362">
        <f>K53-N53</f>
        <v>1583876.25</v>
      </c>
      <c r="Q53" s="445"/>
      <c r="R53" s="293"/>
    </row>
    <row r="54" spans="1:18" ht="18" x14ac:dyDescent="0.35">
      <c r="A54" s="117"/>
      <c r="B54" s="32" t="s">
        <v>235</v>
      </c>
      <c r="C54" s="33" t="s">
        <v>248</v>
      </c>
      <c r="D54" s="33">
        <v>20</v>
      </c>
      <c r="E54" s="510">
        <v>5</v>
      </c>
      <c r="F54" s="79">
        <v>14</v>
      </c>
      <c r="G54" s="79">
        <v>20</v>
      </c>
      <c r="H54" s="397">
        <v>18</v>
      </c>
      <c r="I54" s="398">
        <f>179186*0.05</f>
        <v>8959.3000000000011</v>
      </c>
      <c r="J54" s="54" t="s">
        <v>233</v>
      </c>
      <c r="K54" s="372">
        <f t="shared" ref="K54:K55" si="3">H54*I54</f>
        <v>161267.40000000002</v>
      </c>
      <c r="L54" s="384">
        <f t="shared" ref="L54:L55" si="4">K54/140</f>
        <v>1151.9100000000001</v>
      </c>
      <c r="M54" s="309" t="s">
        <v>245</v>
      </c>
      <c r="N54" s="319">
        <f>L54*30</f>
        <v>34557.300000000003</v>
      </c>
      <c r="O54" s="349"/>
      <c r="P54" s="362">
        <f>K54-N54</f>
        <v>126710.10000000002</v>
      </c>
      <c r="Q54" s="445"/>
      <c r="R54" s="293"/>
    </row>
    <row r="55" spans="1:18" ht="33" customHeight="1" x14ac:dyDescent="0.35">
      <c r="A55" s="117"/>
      <c r="B55" s="32" t="s">
        <v>236</v>
      </c>
      <c r="C55" s="33" t="s">
        <v>249</v>
      </c>
      <c r="D55" s="33">
        <v>10</v>
      </c>
      <c r="E55" s="510">
        <v>0</v>
      </c>
      <c r="F55" s="79">
        <v>5</v>
      </c>
      <c r="G55" s="79">
        <v>8</v>
      </c>
      <c r="H55" s="397">
        <v>6</v>
      </c>
      <c r="I55" s="398">
        <f>179186*0.1</f>
        <v>17918.600000000002</v>
      </c>
      <c r="J55" s="54" t="s">
        <v>233</v>
      </c>
      <c r="K55" s="372">
        <f t="shared" si="3"/>
        <v>107511.6</v>
      </c>
      <c r="L55" s="384">
        <f t="shared" si="4"/>
        <v>767.94</v>
      </c>
      <c r="M55" s="309" t="s">
        <v>246</v>
      </c>
      <c r="N55" s="319">
        <f>L55*30</f>
        <v>23038.2</v>
      </c>
      <c r="O55" s="349"/>
      <c r="P55" s="362">
        <f>K55-N55</f>
        <v>84473.400000000009</v>
      </c>
      <c r="Q55" s="445"/>
      <c r="R55" s="293"/>
    </row>
    <row r="56" spans="1:18" ht="40.799999999999997" x14ac:dyDescent="0.35">
      <c r="A56" s="121" t="s">
        <v>303</v>
      </c>
      <c r="B56" s="32" t="s">
        <v>202</v>
      </c>
      <c r="C56" s="33" t="s">
        <v>92</v>
      </c>
      <c r="D56" s="33">
        <v>25</v>
      </c>
      <c r="E56" s="510">
        <v>5</v>
      </c>
      <c r="F56" s="79">
        <v>1000</v>
      </c>
      <c r="G56" s="79">
        <v>1400</v>
      </c>
      <c r="H56" s="80">
        <v>1200</v>
      </c>
      <c r="I56" s="398">
        <v>80</v>
      </c>
      <c r="J56" s="172"/>
      <c r="K56" s="372">
        <f t="shared" ref="K56:K60" si="5">H56*I56</f>
        <v>96000</v>
      </c>
      <c r="L56" s="328" t="s">
        <v>26</v>
      </c>
      <c r="M56" s="309">
        <v>20</v>
      </c>
      <c r="N56" s="319">
        <f t="shared" ref="N56:N68" si="6">H56*M56</f>
        <v>24000</v>
      </c>
      <c r="O56" s="349"/>
      <c r="P56" s="362">
        <f>K56-N56</f>
        <v>72000</v>
      </c>
      <c r="Q56" s="445"/>
      <c r="R56" s="293"/>
    </row>
    <row r="57" spans="1:18" ht="27.6" x14ac:dyDescent="0.35">
      <c r="A57" s="121" t="s">
        <v>304</v>
      </c>
      <c r="B57" s="32" t="s">
        <v>109</v>
      </c>
      <c r="C57" s="33" t="s">
        <v>92</v>
      </c>
      <c r="D57" s="33">
        <v>25</v>
      </c>
      <c r="E57" s="510">
        <v>0</v>
      </c>
      <c r="F57" s="79">
        <v>3500</v>
      </c>
      <c r="G57" s="79">
        <v>4100</v>
      </c>
      <c r="H57" s="80">
        <v>3800</v>
      </c>
      <c r="I57" s="398">
        <v>80</v>
      </c>
      <c r="J57" s="172"/>
      <c r="K57" s="321">
        <f t="shared" si="5"/>
        <v>304000</v>
      </c>
      <c r="L57" s="328" t="s">
        <v>26</v>
      </c>
      <c r="M57" s="309">
        <v>20</v>
      </c>
      <c r="N57" s="319">
        <f t="shared" si="6"/>
        <v>76000</v>
      </c>
      <c r="O57" s="349"/>
      <c r="P57" s="362">
        <f t="shared" ref="P57:P68" si="7">K57-N57</f>
        <v>228000</v>
      </c>
      <c r="Q57" s="445"/>
      <c r="R57" s="293"/>
    </row>
    <row r="58" spans="1:18" ht="27.6" x14ac:dyDescent="0.35">
      <c r="A58" s="121" t="s">
        <v>57</v>
      </c>
      <c r="B58" s="32" t="s">
        <v>112</v>
      </c>
      <c r="C58" s="33" t="s">
        <v>92</v>
      </c>
      <c r="D58" s="33">
        <v>30</v>
      </c>
      <c r="E58" s="510">
        <v>0</v>
      </c>
      <c r="F58" s="79">
        <v>1500</v>
      </c>
      <c r="G58" s="79">
        <v>2500</v>
      </c>
      <c r="H58" s="80">
        <v>2000</v>
      </c>
      <c r="I58" s="398">
        <v>320</v>
      </c>
      <c r="J58" s="172"/>
      <c r="K58" s="321">
        <f t="shared" si="5"/>
        <v>640000</v>
      </c>
      <c r="L58" s="424" t="s">
        <v>26</v>
      </c>
      <c r="M58" s="309">
        <v>80</v>
      </c>
      <c r="N58" s="319">
        <f t="shared" si="6"/>
        <v>160000</v>
      </c>
      <c r="O58" s="349"/>
      <c r="P58" s="362">
        <f t="shared" si="7"/>
        <v>480000</v>
      </c>
      <c r="Q58" s="445"/>
      <c r="R58" s="293"/>
    </row>
    <row r="59" spans="1:18" ht="40.799999999999997" x14ac:dyDescent="0.35">
      <c r="A59" s="117" t="s">
        <v>67</v>
      </c>
      <c r="B59" s="32" t="s">
        <v>148</v>
      </c>
      <c r="C59" s="33" t="s">
        <v>92</v>
      </c>
      <c r="D59" s="33">
        <v>15</v>
      </c>
      <c r="E59" s="510">
        <v>5</v>
      </c>
      <c r="F59" s="79">
        <v>1500</v>
      </c>
      <c r="G59" s="79">
        <v>3000</v>
      </c>
      <c r="H59" s="80">
        <v>2500</v>
      </c>
      <c r="I59" s="398">
        <v>140</v>
      </c>
      <c r="J59" s="172"/>
      <c r="K59" s="321">
        <f t="shared" si="5"/>
        <v>350000</v>
      </c>
      <c r="L59" s="328"/>
      <c r="M59" s="309">
        <v>26</v>
      </c>
      <c r="N59" s="319">
        <f t="shared" si="6"/>
        <v>65000</v>
      </c>
      <c r="O59" s="349"/>
      <c r="P59" s="362">
        <f t="shared" si="7"/>
        <v>285000</v>
      </c>
      <c r="Q59" s="445"/>
      <c r="R59" s="293"/>
    </row>
    <row r="60" spans="1:18" ht="18" x14ac:dyDescent="0.35">
      <c r="A60" s="117" t="s">
        <v>68</v>
      </c>
      <c r="B60" s="32" t="s">
        <v>141</v>
      </c>
      <c r="C60" s="33" t="s">
        <v>92</v>
      </c>
      <c r="D60" s="33">
        <v>20</v>
      </c>
      <c r="E60" s="510">
        <v>5</v>
      </c>
      <c r="F60" s="79">
        <v>2500</v>
      </c>
      <c r="G60" s="79">
        <v>3500</v>
      </c>
      <c r="H60" s="80">
        <v>3000</v>
      </c>
      <c r="I60" s="398">
        <v>140</v>
      </c>
      <c r="J60" s="172"/>
      <c r="K60" s="321">
        <f t="shared" si="5"/>
        <v>420000</v>
      </c>
      <c r="L60" s="328"/>
      <c r="M60" s="309">
        <v>26</v>
      </c>
      <c r="N60" s="319">
        <f t="shared" si="6"/>
        <v>78000</v>
      </c>
      <c r="O60" s="349"/>
      <c r="P60" s="362">
        <f t="shared" si="7"/>
        <v>342000</v>
      </c>
      <c r="Q60" s="445"/>
      <c r="R60" s="293"/>
    </row>
    <row r="61" spans="1:18" ht="27.6" x14ac:dyDescent="0.35">
      <c r="A61" s="117" t="s">
        <v>69</v>
      </c>
      <c r="B61" s="32" t="s">
        <v>140</v>
      </c>
      <c r="C61" s="33" t="s">
        <v>92</v>
      </c>
      <c r="D61" s="33">
        <v>20</v>
      </c>
      <c r="E61" s="510">
        <v>5</v>
      </c>
      <c r="F61" s="79">
        <v>14000</v>
      </c>
      <c r="G61" s="79">
        <v>18000</v>
      </c>
      <c r="H61" s="80">
        <v>15000</v>
      </c>
      <c r="I61" s="398">
        <v>140</v>
      </c>
      <c r="J61" s="172"/>
      <c r="K61" s="321">
        <f t="shared" ref="K61:K63" si="8">H61*I61</f>
        <v>2100000</v>
      </c>
      <c r="L61" s="328"/>
      <c r="M61" s="309">
        <v>26</v>
      </c>
      <c r="N61" s="319">
        <f t="shared" si="6"/>
        <v>390000</v>
      </c>
      <c r="O61" s="349"/>
      <c r="P61" s="362">
        <f t="shared" si="7"/>
        <v>1710000</v>
      </c>
      <c r="Q61" s="445"/>
      <c r="R61" s="293"/>
    </row>
    <row r="62" spans="1:18" ht="27.6" x14ac:dyDescent="0.35">
      <c r="A62" s="117" t="s">
        <v>70</v>
      </c>
      <c r="B62" s="32" t="s">
        <v>142</v>
      </c>
      <c r="C62" s="33" t="s">
        <v>92</v>
      </c>
      <c r="D62" s="33">
        <v>10</v>
      </c>
      <c r="E62" s="510">
        <v>0</v>
      </c>
      <c r="F62" s="79">
        <v>3000</v>
      </c>
      <c r="G62" s="79">
        <v>5000</v>
      </c>
      <c r="H62" s="80">
        <v>4000</v>
      </c>
      <c r="I62" s="398">
        <v>140</v>
      </c>
      <c r="J62" s="172"/>
      <c r="K62" s="321">
        <f t="shared" si="8"/>
        <v>560000</v>
      </c>
      <c r="L62" s="328"/>
      <c r="M62" s="309">
        <v>26</v>
      </c>
      <c r="N62" s="319">
        <f t="shared" si="6"/>
        <v>104000</v>
      </c>
      <c r="O62" s="349"/>
      <c r="P62" s="362">
        <f t="shared" si="7"/>
        <v>456000</v>
      </c>
      <c r="Q62" s="445"/>
      <c r="R62" s="293"/>
    </row>
    <row r="63" spans="1:18" ht="18" x14ac:dyDescent="0.35">
      <c r="A63" s="117" t="s">
        <v>75</v>
      </c>
      <c r="B63" s="32" t="s">
        <v>81</v>
      </c>
      <c r="C63" s="33" t="s">
        <v>92</v>
      </c>
      <c r="D63" s="33">
        <v>10</v>
      </c>
      <c r="E63" s="510">
        <v>0</v>
      </c>
      <c r="F63" s="79">
        <v>1000</v>
      </c>
      <c r="G63" s="79">
        <v>3000</v>
      </c>
      <c r="H63" s="80">
        <v>1500</v>
      </c>
      <c r="I63" s="398">
        <v>140</v>
      </c>
      <c r="J63" s="172"/>
      <c r="K63" s="321">
        <f t="shared" si="8"/>
        <v>210000</v>
      </c>
      <c r="L63" s="328"/>
      <c r="M63" s="309">
        <v>26</v>
      </c>
      <c r="N63" s="319">
        <f t="shared" si="6"/>
        <v>39000</v>
      </c>
      <c r="O63" s="349"/>
      <c r="P63" s="362">
        <f t="shared" si="7"/>
        <v>171000</v>
      </c>
      <c r="Q63" s="445"/>
      <c r="R63" s="293"/>
    </row>
    <row r="64" spans="1:18" ht="27.6" x14ac:dyDescent="0.35">
      <c r="A64" s="117" t="s">
        <v>71</v>
      </c>
      <c r="B64" s="32" t="s">
        <v>144</v>
      </c>
      <c r="C64" s="33" t="s">
        <v>92</v>
      </c>
      <c r="D64" s="33">
        <v>20</v>
      </c>
      <c r="E64" s="510">
        <v>5</v>
      </c>
      <c r="F64" s="79">
        <v>1000</v>
      </c>
      <c r="G64" s="79">
        <v>2500</v>
      </c>
      <c r="H64" s="80">
        <v>1500</v>
      </c>
      <c r="I64" s="398">
        <v>256</v>
      </c>
      <c r="J64" s="172"/>
      <c r="K64" s="321">
        <f>H64*I64</f>
        <v>384000</v>
      </c>
      <c r="L64" s="328"/>
      <c r="M64" s="309">
        <v>32</v>
      </c>
      <c r="N64" s="319">
        <f t="shared" si="6"/>
        <v>48000</v>
      </c>
      <c r="O64" s="349"/>
      <c r="P64" s="362">
        <f t="shared" si="7"/>
        <v>336000</v>
      </c>
      <c r="Q64" s="445"/>
      <c r="R64" s="293"/>
    </row>
    <row r="65" spans="1:19" ht="18" x14ac:dyDescent="0.35">
      <c r="A65" s="117" t="s">
        <v>72</v>
      </c>
      <c r="B65" s="32" t="s">
        <v>73</v>
      </c>
      <c r="C65" s="33" t="s">
        <v>92</v>
      </c>
      <c r="D65" s="33">
        <v>50</v>
      </c>
      <c r="E65" s="510">
        <v>15</v>
      </c>
      <c r="F65" s="79">
        <v>250</v>
      </c>
      <c r="G65" s="79">
        <v>500</v>
      </c>
      <c r="H65" s="80">
        <v>350</v>
      </c>
      <c r="I65" s="398">
        <v>256</v>
      </c>
      <c r="J65" s="172"/>
      <c r="K65" s="321">
        <f t="shared" ref="K65:K68" si="9">H65*I65</f>
        <v>89600</v>
      </c>
      <c r="L65" s="328"/>
      <c r="M65" s="309">
        <v>32</v>
      </c>
      <c r="N65" s="319">
        <f t="shared" si="6"/>
        <v>11200</v>
      </c>
      <c r="O65" s="349"/>
      <c r="P65" s="362">
        <f t="shared" si="7"/>
        <v>78400</v>
      </c>
      <c r="Q65" s="445"/>
      <c r="R65" s="293"/>
    </row>
    <row r="66" spans="1:19" ht="18" x14ac:dyDescent="0.35">
      <c r="A66" s="117" t="s">
        <v>74</v>
      </c>
      <c r="B66" s="32" t="s">
        <v>145</v>
      </c>
      <c r="C66" s="33" t="s">
        <v>92</v>
      </c>
      <c r="D66" s="33">
        <v>15</v>
      </c>
      <c r="E66" s="510">
        <v>0</v>
      </c>
      <c r="F66" s="79">
        <v>200</v>
      </c>
      <c r="G66" s="79">
        <v>400</v>
      </c>
      <c r="H66" s="80">
        <v>300</v>
      </c>
      <c r="I66" s="398">
        <v>256</v>
      </c>
      <c r="J66" s="172"/>
      <c r="K66" s="321">
        <f t="shared" si="9"/>
        <v>76800</v>
      </c>
      <c r="L66" s="328"/>
      <c r="M66" s="309">
        <v>26</v>
      </c>
      <c r="N66" s="319">
        <f t="shared" si="6"/>
        <v>7800</v>
      </c>
      <c r="O66" s="349"/>
      <c r="P66" s="362">
        <f t="shared" si="7"/>
        <v>69000</v>
      </c>
      <c r="Q66" s="445"/>
      <c r="R66" s="293"/>
    </row>
    <row r="67" spans="1:19" ht="27.6" x14ac:dyDescent="0.35">
      <c r="A67" s="117" t="s">
        <v>166</v>
      </c>
      <c r="B67" s="32" t="s">
        <v>167</v>
      </c>
      <c r="C67" s="33" t="s">
        <v>92</v>
      </c>
      <c r="D67" s="33">
        <v>15</v>
      </c>
      <c r="E67" s="510">
        <v>0</v>
      </c>
      <c r="F67" s="79">
        <v>7000</v>
      </c>
      <c r="G67" s="79">
        <v>9000</v>
      </c>
      <c r="H67" s="80">
        <v>8000</v>
      </c>
      <c r="I67" s="398">
        <v>140</v>
      </c>
      <c r="J67" s="172"/>
      <c r="K67" s="321">
        <f t="shared" si="9"/>
        <v>1120000</v>
      </c>
      <c r="L67" s="328"/>
      <c r="M67" s="309">
        <v>26</v>
      </c>
      <c r="N67" s="319">
        <f t="shared" si="6"/>
        <v>208000</v>
      </c>
      <c r="O67" s="349"/>
      <c r="P67" s="362">
        <f t="shared" si="7"/>
        <v>912000</v>
      </c>
      <c r="Q67" s="445"/>
      <c r="R67" s="293"/>
    </row>
    <row r="68" spans="1:19" ht="18.600000000000001" thickBot="1" x14ac:dyDescent="0.4">
      <c r="A68" s="117" t="s">
        <v>143</v>
      </c>
      <c r="B68" s="32" t="s">
        <v>149</v>
      </c>
      <c r="C68" s="33" t="s">
        <v>92</v>
      </c>
      <c r="D68" s="33">
        <v>10</v>
      </c>
      <c r="E68" s="510">
        <v>0</v>
      </c>
      <c r="F68" s="79">
        <v>3000</v>
      </c>
      <c r="G68" s="79">
        <v>7000</v>
      </c>
      <c r="H68" s="80">
        <v>5000</v>
      </c>
      <c r="I68" s="398">
        <v>140</v>
      </c>
      <c r="J68" s="172"/>
      <c r="K68" s="323">
        <f t="shared" si="9"/>
        <v>700000</v>
      </c>
      <c r="L68" s="328"/>
      <c r="M68" s="310">
        <v>26</v>
      </c>
      <c r="N68" s="401">
        <f t="shared" si="6"/>
        <v>130000</v>
      </c>
      <c r="O68" s="350"/>
      <c r="P68" s="363">
        <f t="shared" si="7"/>
        <v>570000</v>
      </c>
      <c r="Q68" s="445"/>
      <c r="R68" s="293"/>
    </row>
    <row r="69" spans="1:19" ht="24.6" customHeight="1" thickBot="1" x14ac:dyDescent="0.4">
      <c r="I69" s="293"/>
      <c r="J69" s="371" t="s">
        <v>237</v>
      </c>
      <c r="K69" s="373">
        <f>SUM(K51:K68)</f>
        <v>9335021.5</v>
      </c>
      <c r="L69" s="293"/>
      <c r="M69" s="425" t="s">
        <v>275</v>
      </c>
      <c r="N69" s="360">
        <f>SUM(N51:N68)</f>
        <v>1830561.75</v>
      </c>
      <c r="O69" s="358"/>
      <c r="P69" s="364">
        <f>SUM(P51:P68)</f>
        <v>7504459.75</v>
      </c>
      <c r="Q69" s="326"/>
      <c r="R69" s="345">
        <f>N69+P69</f>
        <v>9335021.5</v>
      </c>
      <c r="S69" s="402" t="s">
        <v>26</v>
      </c>
    </row>
    <row r="70" spans="1:19" ht="37.200000000000003" customHeight="1" thickBot="1" x14ac:dyDescent="0.45">
      <c r="I70" s="293"/>
      <c r="J70" s="371"/>
      <c r="K70" s="426"/>
      <c r="L70" s="293"/>
      <c r="M70" s="438" t="s">
        <v>276</v>
      </c>
      <c r="N70" s="439">
        <f>(N69*L102)+N69</f>
        <v>2452952.7450000001</v>
      </c>
      <c r="O70" s="569"/>
      <c r="P70" s="440">
        <f>(P69*L102)+P69</f>
        <v>10055976.064999999</v>
      </c>
      <c r="Q70" s="446"/>
      <c r="R70" s="450">
        <f>N70+P70</f>
        <v>12508928.809999999</v>
      </c>
      <c r="S70" s="402" t="s">
        <v>26</v>
      </c>
    </row>
    <row r="71" spans="1:19" ht="8.4" customHeight="1" x14ac:dyDescent="0.35">
      <c r="I71" s="293"/>
      <c r="J71" s="371"/>
      <c r="K71" s="426"/>
      <c r="L71" s="293"/>
      <c r="M71" s="428"/>
      <c r="N71" s="326"/>
      <c r="O71" s="326"/>
      <c r="P71" s="326"/>
      <c r="Q71" s="326"/>
      <c r="R71" s="345"/>
      <c r="S71" s="402"/>
    </row>
    <row r="72" spans="1:19" ht="7.8" customHeight="1" thickBot="1" x14ac:dyDescent="0.4">
      <c r="E72" s="293"/>
      <c r="F72" s="293"/>
      <c r="G72" s="293"/>
      <c r="H72" s="293"/>
      <c r="I72" s="293"/>
      <c r="J72" s="371"/>
      <c r="K72" s="426"/>
      <c r="L72" s="293"/>
      <c r="M72" s="428"/>
      <c r="N72" s="326"/>
      <c r="O72" s="326"/>
      <c r="P72" s="326"/>
      <c r="Q72" s="326"/>
      <c r="R72" s="345"/>
      <c r="S72" s="402"/>
    </row>
    <row r="73" spans="1:19" ht="23.4" customHeight="1" thickBot="1" x14ac:dyDescent="0.4">
      <c r="A73" s="312" t="s">
        <v>23</v>
      </c>
      <c r="B73" s="313" t="s">
        <v>40</v>
      </c>
      <c r="C73" s="313"/>
      <c r="D73" s="314" t="s">
        <v>26</v>
      </c>
      <c r="E73" s="41"/>
      <c r="F73" s="190"/>
      <c r="G73" s="304"/>
      <c r="H73" s="172"/>
      <c r="I73" s="514"/>
      <c r="J73" s="171"/>
      <c r="K73" s="171" t="s">
        <v>26</v>
      </c>
      <c r="L73" s="329" t="s">
        <v>203</v>
      </c>
      <c r="M73" s="293"/>
      <c r="N73" s="429" t="s">
        <v>273</v>
      </c>
      <c r="O73" s="348"/>
      <c r="P73" s="432" t="s">
        <v>272</v>
      </c>
      <c r="Q73" s="326"/>
      <c r="R73" s="293"/>
    </row>
    <row r="74" spans="1:19" ht="28.2" thickTop="1" x14ac:dyDescent="0.35">
      <c r="A74" s="117" t="s">
        <v>36</v>
      </c>
      <c r="B74" s="32" t="s">
        <v>97</v>
      </c>
      <c r="C74" s="33" t="s">
        <v>92</v>
      </c>
      <c r="D74" s="33">
        <v>50</v>
      </c>
      <c r="E74" s="33">
        <v>15</v>
      </c>
      <c r="F74" s="511"/>
      <c r="G74" s="79"/>
      <c r="H74" s="397">
        <v>5000</v>
      </c>
      <c r="I74" s="398">
        <v>4</v>
      </c>
      <c r="J74" s="172"/>
      <c r="K74" s="172"/>
      <c r="L74" s="330" t="s">
        <v>26</v>
      </c>
      <c r="M74" s="293"/>
      <c r="N74" s="430"/>
      <c r="O74" s="352"/>
      <c r="P74" s="433"/>
      <c r="Q74" s="293"/>
      <c r="R74" s="293"/>
    </row>
    <row r="75" spans="1:19" ht="40.799999999999997" x14ac:dyDescent="0.35">
      <c r="A75" s="117" t="s">
        <v>38</v>
      </c>
      <c r="B75" s="32" t="s">
        <v>98</v>
      </c>
      <c r="C75" s="184"/>
      <c r="D75" s="33">
        <v>50</v>
      </c>
      <c r="E75" s="33">
        <v>15</v>
      </c>
      <c r="F75" s="511">
        <v>30</v>
      </c>
      <c r="G75" s="79">
        <v>40</v>
      </c>
      <c r="H75" s="397">
        <v>35</v>
      </c>
      <c r="I75" s="398">
        <v>2800</v>
      </c>
      <c r="J75" s="69">
        <f>K69+J47+L87</f>
        <v>51945451.5</v>
      </c>
      <c r="K75" s="172" t="s">
        <v>266</v>
      </c>
      <c r="L75" s="331">
        <f>H75*I75</f>
        <v>98000</v>
      </c>
      <c r="M75" s="293" t="s">
        <v>205</v>
      </c>
      <c r="N75" s="431">
        <v>24500</v>
      </c>
      <c r="O75" s="353"/>
      <c r="P75" s="365">
        <f>L75-N75</f>
        <v>73500</v>
      </c>
      <c r="Q75" s="447"/>
      <c r="R75" s="293"/>
    </row>
    <row r="76" spans="1:19" ht="18" x14ac:dyDescent="0.35">
      <c r="A76" s="117" t="s">
        <v>37</v>
      </c>
      <c r="B76" s="32" t="s">
        <v>47</v>
      </c>
      <c r="C76" s="33" t="s">
        <v>92</v>
      </c>
      <c r="D76" s="33">
        <v>10</v>
      </c>
      <c r="E76" s="33">
        <v>5</v>
      </c>
      <c r="F76" s="511">
        <v>12000</v>
      </c>
      <c r="G76" s="79">
        <v>20000</v>
      </c>
      <c r="H76" s="397">
        <v>15000</v>
      </c>
      <c r="I76" s="398">
        <v>4</v>
      </c>
      <c r="J76" s="172"/>
      <c r="K76" s="172"/>
      <c r="L76" s="331"/>
      <c r="M76" s="293"/>
      <c r="N76" s="324"/>
      <c r="O76" s="353"/>
      <c r="P76" s="365" t="s">
        <v>26</v>
      </c>
      <c r="Q76" s="447"/>
      <c r="R76" s="293"/>
    </row>
    <row r="77" spans="1:19" ht="27.6" x14ac:dyDescent="0.35">
      <c r="A77" s="117" t="s">
        <v>39</v>
      </c>
      <c r="B77" s="32" t="s">
        <v>106</v>
      </c>
      <c r="C77" s="33" t="s">
        <v>92</v>
      </c>
      <c r="D77" s="33">
        <v>10</v>
      </c>
      <c r="E77" s="33">
        <v>5</v>
      </c>
      <c r="F77" s="511">
        <v>1000</v>
      </c>
      <c r="G77" s="79">
        <v>1500</v>
      </c>
      <c r="H77" s="397">
        <v>1200</v>
      </c>
      <c r="I77" s="398">
        <v>24</v>
      </c>
      <c r="J77" s="172"/>
      <c r="K77" s="172"/>
      <c r="L77" s="331"/>
      <c r="M77" s="293"/>
      <c r="N77" s="324"/>
      <c r="O77" s="353"/>
      <c r="P77" s="365" t="s">
        <v>26</v>
      </c>
      <c r="Q77" s="447"/>
      <c r="R77" s="293"/>
    </row>
    <row r="78" spans="1:19" ht="27.6" x14ac:dyDescent="0.35">
      <c r="A78" s="117" t="s">
        <v>174</v>
      </c>
      <c r="B78" s="32" t="s">
        <v>41</v>
      </c>
      <c r="C78" s="33" t="s">
        <v>92</v>
      </c>
      <c r="D78" s="33">
        <v>30</v>
      </c>
      <c r="E78" s="33">
        <v>20</v>
      </c>
      <c r="F78" s="511">
        <v>25000</v>
      </c>
      <c r="G78" s="79">
        <v>30000</v>
      </c>
      <c r="H78" s="397">
        <v>27000</v>
      </c>
      <c r="I78" s="398">
        <v>6</v>
      </c>
      <c r="J78" s="172"/>
      <c r="K78" s="172"/>
      <c r="L78" s="331"/>
      <c r="M78" s="293"/>
      <c r="N78" s="324"/>
      <c r="O78" s="353"/>
      <c r="P78" s="365" t="s">
        <v>26</v>
      </c>
      <c r="Q78" s="447"/>
      <c r="R78" s="293"/>
    </row>
    <row r="79" spans="1:19" ht="18" x14ac:dyDescent="0.35">
      <c r="A79" s="118" t="s">
        <v>31</v>
      </c>
      <c r="B79" s="32" t="s">
        <v>105</v>
      </c>
      <c r="C79" s="33" t="s">
        <v>92</v>
      </c>
      <c r="D79" s="33">
        <v>30</v>
      </c>
      <c r="E79" s="33">
        <v>0</v>
      </c>
      <c r="F79" s="511">
        <v>8000</v>
      </c>
      <c r="G79" s="79">
        <v>12000</v>
      </c>
      <c r="H79" s="397">
        <v>10000</v>
      </c>
      <c r="I79" s="398">
        <v>6</v>
      </c>
      <c r="J79" s="172"/>
      <c r="K79" s="172"/>
      <c r="L79" s="331"/>
      <c r="M79" s="293"/>
      <c r="N79" s="324"/>
      <c r="O79" s="353"/>
      <c r="P79" s="365" t="s">
        <v>26</v>
      </c>
      <c r="Q79" s="447"/>
      <c r="R79" s="293"/>
    </row>
    <row r="80" spans="1:19" ht="27.6" x14ac:dyDescent="0.35">
      <c r="A80" s="119" t="s">
        <v>77</v>
      </c>
      <c r="B80" s="74" t="s">
        <v>100</v>
      </c>
      <c r="C80" s="185" t="s">
        <v>89</v>
      </c>
      <c r="D80" s="33">
        <v>20</v>
      </c>
      <c r="E80" s="33">
        <v>10</v>
      </c>
      <c r="F80" s="511">
        <v>3</v>
      </c>
      <c r="G80" s="79">
        <v>7</v>
      </c>
      <c r="H80" s="397">
        <v>5</v>
      </c>
      <c r="I80" s="398">
        <v>18900</v>
      </c>
      <c r="J80" s="172"/>
      <c r="K80" s="172"/>
      <c r="L80" s="331" t="s">
        <v>26</v>
      </c>
      <c r="M80" s="293"/>
      <c r="N80" s="324"/>
      <c r="O80" s="353"/>
      <c r="P80" s="365" t="s">
        <v>26</v>
      </c>
      <c r="Q80" s="447"/>
      <c r="R80" s="293"/>
    </row>
    <row r="81" spans="1:19" ht="18" x14ac:dyDescent="0.35">
      <c r="A81" s="120" t="s">
        <v>46</v>
      </c>
      <c r="B81" s="32" t="s">
        <v>99</v>
      </c>
      <c r="C81" s="33" t="s">
        <v>89</v>
      </c>
      <c r="D81" s="33">
        <v>40</v>
      </c>
      <c r="E81" s="33">
        <v>20</v>
      </c>
      <c r="F81" s="511">
        <v>3</v>
      </c>
      <c r="G81" s="79">
        <v>7</v>
      </c>
      <c r="H81" s="397">
        <v>5</v>
      </c>
      <c r="I81" s="398">
        <v>19500</v>
      </c>
      <c r="J81" s="172"/>
      <c r="K81" s="172"/>
      <c r="L81" s="331"/>
      <c r="M81" s="293"/>
      <c r="N81" s="324"/>
      <c r="O81" s="353"/>
      <c r="P81" s="365" t="s">
        <v>26</v>
      </c>
      <c r="Q81" s="447"/>
      <c r="R81" s="293"/>
    </row>
    <row r="82" spans="1:19" ht="27.6" x14ac:dyDescent="0.35">
      <c r="A82" s="117" t="s">
        <v>78</v>
      </c>
      <c r="B82" s="66" t="s">
        <v>79</v>
      </c>
      <c r="C82" s="185" t="s">
        <v>151</v>
      </c>
      <c r="D82" s="33">
        <v>40</v>
      </c>
      <c r="E82" s="33">
        <v>20</v>
      </c>
      <c r="F82" s="511">
        <v>30</v>
      </c>
      <c r="G82" s="79">
        <v>40</v>
      </c>
      <c r="H82" s="397">
        <v>35</v>
      </c>
      <c r="I82" s="398">
        <v>1000</v>
      </c>
      <c r="J82" s="172" t="s">
        <v>26</v>
      </c>
      <c r="K82" s="172"/>
      <c r="L82" s="331">
        <f>H82*I82</f>
        <v>35000</v>
      </c>
      <c r="M82" s="293" t="s">
        <v>329</v>
      </c>
      <c r="N82" s="324">
        <v>0</v>
      </c>
      <c r="O82" s="353"/>
      <c r="P82" s="365">
        <f t="shared" ref="P82:P86" si="10">L82-N82</f>
        <v>35000</v>
      </c>
      <c r="Q82" s="447"/>
      <c r="R82" s="293"/>
    </row>
    <row r="83" spans="1:19" ht="27.6" x14ac:dyDescent="0.35">
      <c r="A83" s="117" t="s">
        <v>85</v>
      </c>
      <c r="B83" s="32" t="s">
        <v>86</v>
      </c>
      <c r="C83" s="33" t="s">
        <v>92</v>
      </c>
      <c r="D83" s="33">
        <v>15</v>
      </c>
      <c r="E83" s="33">
        <v>5</v>
      </c>
      <c r="F83" s="511"/>
      <c r="G83" s="79"/>
      <c r="H83" s="397">
        <v>20000</v>
      </c>
      <c r="I83" s="398">
        <v>4</v>
      </c>
      <c r="J83" s="172" t="s">
        <v>26</v>
      </c>
      <c r="K83" s="172"/>
      <c r="L83" s="331"/>
      <c r="M83" s="293"/>
      <c r="N83" s="324"/>
      <c r="O83" s="353"/>
      <c r="P83" s="365" t="s">
        <v>26</v>
      </c>
      <c r="Q83" s="447"/>
      <c r="R83" s="293"/>
    </row>
    <row r="84" spans="1:19" ht="27.6" x14ac:dyDescent="0.35">
      <c r="A84" s="121" t="s">
        <v>83</v>
      </c>
      <c r="B84" s="32" t="s">
        <v>104</v>
      </c>
      <c r="C84" s="33" t="s">
        <v>92</v>
      </c>
      <c r="D84" s="33">
        <v>15</v>
      </c>
      <c r="E84" s="33">
        <v>0</v>
      </c>
      <c r="F84" s="511"/>
      <c r="G84" s="79"/>
      <c r="H84" s="515">
        <v>2500</v>
      </c>
      <c r="I84" s="398">
        <v>140</v>
      </c>
      <c r="J84" s="172" t="s">
        <v>26</v>
      </c>
      <c r="K84" s="172"/>
      <c r="L84" s="331">
        <f>H84*I84</f>
        <v>350000</v>
      </c>
      <c r="M84" s="293">
        <v>30</v>
      </c>
      <c r="N84" s="324">
        <f>H84*M84</f>
        <v>75000</v>
      </c>
      <c r="O84" s="353"/>
      <c r="P84" s="365">
        <f t="shared" si="10"/>
        <v>275000</v>
      </c>
      <c r="Q84" s="447"/>
      <c r="R84" s="293"/>
    </row>
    <row r="85" spans="1:19" ht="28.2" thickBot="1" x14ac:dyDescent="0.4">
      <c r="A85" s="315" t="s">
        <v>110</v>
      </c>
      <c r="B85" s="316" t="s">
        <v>111</v>
      </c>
      <c r="C85" s="317" t="s">
        <v>92</v>
      </c>
      <c r="D85" s="317">
        <v>30</v>
      </c>
      <c r="E85" s="317">
        <v>0</v>
      </c>
      <c r="F85" s="512"/>
      <c r="G85" s="79"/>
      <c r="H85" s="515">
        <v>4000</v>
      </c>
      <c r="I85" s="398">
        <v>2</v>
      </c>
      <c r="J85" s="172"/>
      <c r="K85" s="172"/>
      <c r="L85" s="332">
        <f>H85*I85</f>
        <v>8000</v>
      </c>
      <c r="M85" s="293" t="s">
        <v>206</v>
      </c>
      <c r="N85" s="324">
        <v>4000</v>
      </c>
      <c r="O85" s="353"/>
      <c r="P85" s="365">
        <f t="shared" si="10"/>
        <v>4000</v>
      </c>
      <c r="Q85" s="447"/>
      <c r="R85" s="293"/>
    </row>
    <row r="86" spans="1:19" ht="61.8" customHeight="1" thickBot="1" x14ac:dyDescent="0.4">
      <c r="A86" s="169" t="s">
        <v>146</v>
      </c>
      <c r="B86" s="131" t="s">
        <v>87</v>
      </c>
      <c r="C86" s="78" t="s">
        <v>92</v>
      </c>
      <c r="D86" s="78">
        <v>25</v>
      </c>
      <c r="E86" s="78">
        <v>0</v>
      </c>
      <c r="F86" s="513">
        <v>900000</v>
      </c>
      <c r="G86" s="79">
        <v>1500000</v>
      </c>
      <c r="H86" s="80">
        <v>1100000</v>
      </c>
      <c r="I86" s="516">
        <v>4</v>
      </c>
      <c r="J86" s="172" t="s">
        <v>26</v>
      </c>
      <c r="K86" s="293"/>
      <c r="L86" s="333">
        <v>4400000</v>
      </c>
      <c r="M86" s="359">
        <v>1</v>
      </c>
      <c r="N86" s="327">
        <f>H86*M86</f>
        <v>1100000</v>
      </c>
      <c r="O86" s="354"/>
      <c r="P86" s="366">
        <f t="shared" si="10"/>
        <v>3300000</v>
      </c>
      <c r="Q86" s="447"/>
      <c r="R86" s="293"/>
    </row>
    <row r="87" spans="1:19" ht="22.8" customHeight="1" thickBot="1" x14ac:dyDescent="0.4">
      <c r="K87" s="371" t="s">
        <v>237</v>
      </c>
      <c r="L87" s="374">
        <f>SUM(L74:L86)</f>
        <v>4891000</v>
      </c>
      <c r="M87" s="570" t="s">
        <v>277</v>
      </c>
      <c r="N87" s="571">
        <f>SUM(N75:N86)</f>
        <v>1203500</v>
      </c>
      <c r="O87" s="352"/>
      <c r="P87" s="427">
        <f>SUM(P75:P86)</f>
        <v>3687500</v>
      </c>
      <c r="Q87" s="326"/>
      <c r="R87" s="355" t="s">
        <v>26</v>
      </c>
    </row>
    <row r="88" spans="1:19" ht="35.4" customHeight="1" thickBot="1" x14ac:dyDescent="0.45">
      <c r="K88" s="371"/>
      <c r="L88" s="441"/>
      <c r="M88" s="438" t="s">
        <v>278</v>
      </c>
      <c r="N88" s="442">
        <f>(N87* L102)+N87</f>
        <v>1612690</v>
      </c>
      <c r="O88" s="572"/>
      <c r="P88" s="443">
        <f>(P87*L102)+P87</f>
        <v>4941250</v>
      </c>
      <c r="Q88" s="326"/>
      <c r="R88" s="594">
        <f>N88+P88</f>
        <v>6553940</v>
      </c>
    </row>
    <row r="89" spans="1:19" ht="10.199999999999999" customHeight="1" x14ac:dyDescent="0.3">
      <c r="L89" s="325"/>
      <c r="M89" s="293"/>
      <c r="N89" s="355" t="s">
        <v>26</v>
      </c>
      <c r="O89" s="355"/>
      <c r="P89" s="293"/>
      <c r="Q89" s="293"/>
      <c r="R89" s="293"/>
    </row>
    <row r="90" spans="1:19" ht="10.199999999999999" customHeight="1" thickBot="1" x14ac:dyDescent="0.35">
      <c r="L90" s="325"/>
      <c r="M90" s="293"/>
      <c r="N90" s="355"/>
      <c r="O90" s="355"/>
      <c r="P90" s="293"/>
      <c r="Q90" s="293"/>
      <c r="R90" s="293"/>
    </row>
    <row r="91" spans="1:19" ht="37.200000000000003" customHeight="1" thickBot="1" x14ac:dyDescent="0.45">
      <c r="L91" s="664" t="s">
        <v>279</v>
      </c>
      <c r="M91" s="665"/>
      <c r="N91" s="344">
        <f>N48+N70+N88</f>
        <v>13431519.145</v>
      </c>
      <c r="O91" s="344" t="s">
        <v>26</v>
      </c>
      <c r="P91" s="344">
        <f>P48+P70+P88</f>
        <v>56175385.864999995</v>
      </c>
      <c r="Q91" s="356"/>
      <c r="R91" s="451">
        <f>N91+P91</f>
        <v>69606905.00999999</v>
      </c>
      <c r="S91" s="284" t="s">
        <v>330</v>
      </c>
    </row>
    <row r="92" spans="1:19" ht="25.2" customHeight="1" thickBot="1" x14ac:dyDescent="0.45">
      <c r="L92" s="444"/>
      <c r="M92" s="502" t="s">
        <v>296</v>
      </c>
      <c r="N92" s="585">
        <f>N91/30</f>
        <v>447717.3048333333</v>
      </c>
      <c r="O92" s="584"/>
      <c r="P92" s="585">
        <f>P91/110</f>
        <v>510685.32604545448</v>
      </c>
      <c r="Q92" s="356"/>
      <c r="R92" s="506" t="s">
        <v>26</v>
      </c>
    </row>
    <row r="93" spans="1:19" ht="26.4" customHeight="1" thickBot="1" x14ac:dyDescent="0.45">
      <c r="E93" s="675" t="s">
        <v>215</v>
      </c>
      <c r="F93" s="676"/>
      <c r="G93" s="676"/>
      <c r="H93" s="287" t="s">
        <v>212</v>
      </c>
      <c r="L93" s="293"/>
      <c r="M93" s="293" t="s">
        <v>26</v>
      </c>
      <c r="N93" s="293"/>
      <c r="O93" s="293"/>
      <c r="P93" s="293"/>
      <c r="Q93" s="293"/>
      <c r="R93" s="345" t="s">
        <v>26</v>
      </c>
    </row>
    <row r="94" spans="1:19" ht="25.8" customHeight="1" x14ac:dyDescent="0.35">
      <c r="E94" s="658" t="s">
        <v>210</v>
      </c>
      <c r="F94" s="657"/>
      <c r="G94" s="301">
        <v>1500</v>
      </c>
      <c r="H94" s="336">
        <f>2*G94</f>
        <v>3000</v>
      </c>
      <c r="J94" s="666" t="s">
        <v>218</v>
      </c>
      <c r="K94" s="667"/>
      <c r="L94" s="579">
        <v>0.15</v>
      </c>
      <c r="M94" s="586"/>
      <c r="N94" s="357"/>
      <c r="O94" s="357"/>
      <c r="P94" s="448"/>
      <c r="Q94" s="448"/>
      <c r="R94" s="293"/>
    </row>
    <row r="95" spans="1:19" ht="24" customHeight="1" x14ac:dyDescent="0.35">
      <c r="E95" s="658" t="s">
        <v>208</v>
      </c>
      <c r="F95" s="657"/>
      <c r="G95" s="301">
        <v>300</v>
      </c>
      <c r="H95" s="336">
        <f t="shared" ref="H95:H99" si="11">2*G95</f>
        <v>600</v>
      </c>
      <c r="J95" s="668" t="s">
        <v>219</v>
      </c>
      <c r="K95" s="669"/>
      <c r="L95" s="580">
        <v>0.04</v>
      </c>
      <c r="M95" s="586"/>
      <c r="N95" s="357"/>
      <c r="O95" s="357"/>
      <c r="P95" s="448"/>
      <c r="Q95" s="448"/>
      <c r="R95" s="293"/>
    </row>
    <row r="96" spans="1:19" ht="26.4" customHeight="1" x14ac:dyDescent="0.35">
      <c r="E96" s="658" t="s">
        <v>209</v>
      </c>
      <c r="F96" s="657"/>
      <c r="G96" s="301">
        <v>150</v>
      </c>
      <c r="H96" s="336">
        <f t="shared" si="11"/>
        <v>300</v>
      </c>
      <c r="J96" s="668" t="s">
        <v>220</v>
      </c>
      <c r="K96" s="669"/>
      <c r="L96" s="580">
        <v>0.15</v>
      </c>
      <c r="M96" s="586"/>
      <c r="N96" s="357"/>
      <c r="O96" s="357"/>
      <c r="P96" s="448"/>
      <c r="Q96" s="448"/>
      <c r="R96" s="293"/>
    </row>
    <row r="97" spans="4:18" ht="23.4" customHeight="1" x14ac:dyDescent="0.35">
      <c r="E97" s="658" t="s">
        <v>213</v>
      </c>
      <c r="F97" s="657"/>
      <c r="G97" s="301">
        <v>125</v>
      </c>
      <c r="H97" s="336">
        <f t="shared" si="11"/>
        <v>250</v>
      </c>
      <c r="J97" s="668"/>
      <c r="K97" s="669"/>
      <c r="L97" s="580"/>
      <c r="M97" s="587"/>
      <c r="N97" s="588"/>
      <c r="O97" s="357"/>
      <c r="P97" s="355"/>
      <c r="Q97" s="355"/>
      <c r="R97" s="293" t="s">
        <v>324</v>
      </c>
    </row>
    <row r="98" spans="4:18" ht="23.4" customHeight="1" thickBot="1" x14ac:dyDescent="0.4">
      <c r="E98" s="658" t="s">
        <v>211</v>
      </c>
      <c r="F98" s="657"/>
      <c r="G98" s="301">
        <v>500</v>
      </c>
      <c r="H98" s="336">
        <f t="shared" si="11"/>
        <v>1000</v>
      </c>
      <c r="J98" s="679" t="s">
        <v>221</v>
      </c>
      <c r="K98" s="680"/>
      <c r="L98" s="581"/>
      <c r="M98" s="449"/>
      <c r="N98" s="357"/>
      <c r="O98" s="357"/>
      <c r="P98" s="448"/>
      <c r="Q98" s="448"/>
      <c r="R98" s="293"/>
    </row>
    <row r="99" spans="4:18" ht="27.6" customHeight="1" thickBot="1" x14ac:dyDescent="0.45">
      <c r="E99" s="681" t="s">
        <v>214</v>
      </c>
      <c r="F99" s="682"/>
      <c r="G99" s="334">
        <v>1500</v>
      </c>
      <c r="H99" s="337">
        <f t="shared" si="11"/>
        <v>3000</v>
      </c>
      <c r="J99" s="670" t="s">
        <v>26</v>
      </c>
      <c r="K99" s="671"/>
      <c r="L99" s="589"/>
      <c r="M99" s="348"/>
      <c r="N99" s="356"/>
      <c r="O99" s="356"/>
      <c r="P99" s="449"/>
      <c r="Q99" s="449"/>
      <c r="R99" s="293"/>
    </row>
    <row r="100" spans="4:18" ht="22.8" customHeight="1" thickTop="1" x14ac:dyDescent="0.3">
      <c r="E100" s="677" t="s">
        <v>216</v>
      </c>
      <c r="F100" s="678"/>
      <c r="G100" s="301"/>
      <c r="H100" s="338">
        <f>SUM(H94:H99)</f>
        <v>8150</v>
      </c>
      <c r="J100" s="672"/>
      <c r="K100" s="618"/>
      <c r="L100" s="590"/>
      <c r="M100" s="293"/>
      <c r="N100" s="345"/>
      <c r="O100" s="345"/>
      <c r="P100" s="293"/>
      <c r="Q100" s="293"/>
    </row>
    <row r="101" spans="4:18" ht="6.6" customHeight="1" thickBot="1" x14ac:dyDescent="0.35">
      <c r="E101" s="339"/>
      <c r="F101" s="335"/>
      <c r="G101" s="301"/>
      <c r="H101" s="336"/>
      <c r="J101" s="591"/>
      <c r="K101" s="293"/>
      <c r="L101" s="590"/>
      <c r="M101" s="293"/>
      <c r="N101" s="293"/>
      <c r="O101" s="293"/>
      <c r="P101" s="293"/>
      <c r="Q101" s="293"/>
    </row>
    <row r="102" spans="4:18" ht="44.4" customHeight="1" thickBot="1" x14ac:dyDescent="0.4">
      <c r="E102" s="683" t="s">
        <v>217</v>
      </c>
      <c r="F102" s="684"/>
      <c r="G102" s="340">
        <v>24</v>
      </c>
      <c r="H102" s="341">
        <v>2400</v>
      </c>
      <c r="J102" s="592"/>
      <c r="K102" s="593" t="s">
        <v>325</v>
      </c>
      <c r="L102" s="517">
        <f>SUM(L94:L96)</f>
        <v>0.33999999999999997</v>
      </c>
      <c r="R102" s="382">
        <f>N99+P99</f>
        <v>0</v>
      </c>
    </row>
    <row r="103" spans="4:18" ht="22.2" customHeight="1" thickBot="1" x14ac:dyDescent="0.35">
      <c r="D103" s="293"/>
      <c r="E103" s="685" t="s">
        <v>223</v>
      </c>
      <c r="F103" s="686"/>
      <c r="G103" s="342"/>
      <c r="H103" s="343">
        <f>H100+H102</f>
        <v>10550</v>
      </c>
      <c r="I103" s="293"/>
      <c r="R103" s="284">
        <v>72072504</v>
      </c>
    </row>
    <row r="104" spans="4:18" ht="14.4" thickBot="1" x14ac:dyDescent="0.35">
      <c r="D104" s="293"/>
      <c r="E104" s="687" t="s">
        <v>26</v>
      </c>
      <c r="F104" s="618"/>
      <c r="G104" s="293"/>
      <c r="H104" s="293"/>
      <c r="I104" s="293"/>
      <c r="R104" s="382">
        <f>R102-R103</f>
        <v>-72072504</v>
      </c>
    </row>
    <row r="105" spans="4:18" ht="14.4" thickBot="1" x14ac:dyDescent="0.35">
      <c r="D105" s="293"/>
      <c r="E105" s="688" t="s">
        <v>322</v>
      </c>
      <c r="F105" s="689"/>
      <c r="G105" s="342" t="s">
        <v>21</v>
      </c>
      <c r="H105" s="576" t="s">
        <v>323</v>
      </c>
      <c r="I105" s="293"/>
    </row>
    <row r="106" spans="4:18" x14ac:dyDescent="0.3">
      <c r="D106" s="293"/>
      <c r="E106" s="673" t="s">
        <v>116</v>
      </c>
      <c r="F106" s="674"/>
      <c r="G106" s="575">
        <v>30</v>
      </c>
      <c r="H106" s="527">
        <f>G106*H103</f>
        <v>316500</v>
      </c>
      <c r="I106" s="293"/>
    </row>
    <row r="107" spans="4:18" x14ac:dyDescent="0.3">
      <c r="D107" s="293"/>
      <c r="E107" s="690" t="s">
        <v>117</v>
      </c>
      <c r="F107" s="691"/>
      <c r="G107" s="301">
        <v>22</v>
      </c>
      <c r="H107" s="525">
        <f>G107*H103</f>
        <v>232100</v>
      </c>
      <c r="I107" s="293"/>
    </row>
    <row r="108" spans="4:18" x14ac:dyDescent="0.3">
      <c r="E108" s="690" t="s">
        <v>118</v>
      </c>
      <c r="F108" s="691"/>
      <c r="G108" s="301">
        <v>22</v>
      </c>
      <c r="H108" s="525">
        <f>G108*H103</f>
        <v>232100</v>
      </c>
    </row>
    <row r="109" spans="4:18" x14ac:dyDescent="0.3">
      <c r="E109" s="690" t="s">
        <v>321</v>
      </c>
      <c r="F109" s="691"/>
      <c r="G109" s="301">
        <v>22</v>
      </c>
      <c r="H109" s="525">
        <f>G109*H103</f>
        <v>232100</v>
      </c>
    </row>
    <row r="110" spans="4:18" x14ac:dyDescent="0.3">
      <c r="E110" s="690" t="s">
        <v>120</v>
      </c>
      <c r="F110" s="691"/>
      <c r="G110" s="301">
        <v>22</v>
      </c>
      <c r="H110" s="525">
        <f>G110*H103</f>
        <v>232100</v>
      </c>
    </row>
    <row r="111" spans="4:18" ht="14.4" thickBot="1" x14ac:dyDescent="0.35">
      <c r="E111" s="692" t="s">
        <v>121</v>
      </c>
      <c r="F111" s="693"/>
      <c r="G111" s="340">
        <v>22</v>
      </c>
      <c r="H111" s="577">
        <f>G111*H103</f>
        <v>232100</v>
      </c>
    </row>
    <row r="112" spans="4:18" x14ac:dyDescent="0.3">
      <c r="H112" s="578"/>
    </row>
  </sheetData>
  <mergeCells count="27">
    <mergeCell ref="E107:F107"/>
    <mergeCell ref="E108:F108"/>
    <mergeCell ref="E109:F109"/>
    <mergeCell ref="E110:F110"/>
    <mergeCell ref="E111:F111"/>
    <mergeCell ref="J99:K100"/>
    <mergeCell ref="J96:K96"/>
    <mergeCell ref="J97:K97"/>
    <mergeCell ref="E106:F106"/>
    <mergeCell ref="E93:G93"/>
    <mergeCell ref="E100:F100"/>
    <mergeCell ref="J98:K98"/>
    <mergeCell ref="E98:F98"/>
    <mergeCell ref="E99:F99"/>
    <mergeCell ref="E102:F102"/>
    <mergeCell ref="E103:F103"/>
    <mergeCell ref="E104:F104"/>
    <mergeCell ref="E105:F105"/>
    <mergeCell ref="E94:F94"/>
    <mergeCell ref="E95:F95"/>
    <mergeCell ref="E96:F96"/>
    <mergeCell ref="E97:F97"/>
    <mergeCell ref="J20:L20"/>
    <mergeCell ref="H47:I47"/>
    <mergeCell ref="L91:M91"/>
    <mergeCell ref="J94:K94"/>
    <mergeCell ref="J95:K95"/>
  </mergeCells>
  <pageMargins left="0.25" right="0.25" top="0.75" bottom="0.75" header="0.3" footer="0.3"/>
  <pageSetup scale="3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workbookViewId="0">
      <selection activeCell="E24" sqref="E24"/>
    </sheetView>
  </sheetViews>
  <sheetFormatPr defaultRowHeight="13.2" x14ac:dyDescent="0.25"/>
  <cols>
    <col min="1" max="1" width="3.5546875" customWidth="1"/>
    <col min="2" max="2" width="20.21875" customWidth="1"/>
    <col min="3" max="6" width="16.77734375" customWidth="1"/>
  </cols>
  <sheetData>
    <row r="1" spans="2:6" ht="13.8" thickBot="1" x14ac:dyDescent="0.3"/>
    <row r="2" spans="2:6" x14ac:dyDescent="0.25">
      <c r="B2" s="558" t="s">
        <v>308</v>
      </c>
      <c r="C2" s="694" t="s">
        <v>309</v>
      </c>
      <c r="D2" s="695"/>
      <c r="E2" s="696"/>
      <c r="F2" s="553" t="s">
        <v>26</v>
      </c>
    </row>
    <row r="3" spans="2:6" ht="27" thickBot="1" x14ac:dyDescent="0.3">
      <c r="B3" s="552" t="s">
        <v>26</v>
      </c>
      <c r="C3" s="560" t="s">
        <v>310</v>
      </c>
      <c r="D3" s="543" t="s">
        <v>319</v>
      </c>
      <c r="E3" s="561" t="s">
        <v>320</v>
      </c>
      <c r="F3" s="559" t="s">
        <v>311</v>
      </c>
    </row>
    <row r="4" spans="2:6" x14ac:dyDescent="0.25">
      <c r="B4" s="552" t="s">
        <v>312</v>
      </c>
      <c r="C4" s="562">
        <v>9365876</v>
      </c>
      <c r="D4" s="545">
        <v>2452953</v>
      </c>
      <c r="E4" s="546">
        <v>1612690</v>
      </c>
      <c r="F4" s="544">
        <f>C4+D4+E4</f>
        <v>13431519</v>
      </c>
    </row>
    <row r="5" spans="2:6" x14ac:dyDescent="0.25">
      <c r="B5" s="552" t="s">
        <v>313</v>
      </c>
      <c r="C5" s="554">
        <v>8235632</v>
      </c>
      <c r="D5" s="547">
        <v>2011195</v>
      </c>
      <c r="E5" s="548">
        <v>988250</v>
      </c>
      <c r="F5" s="544">
        <f t="shared" ref="F5:F9" si="0">C5+D5+E5</f>
        <v>11235077</v>
      </c>
    </row>
    <row r="6" spans="2:6" x14ac:dyDescent="0.25">
      <c r="B6" s="552" t="s">
        <v>314</v>
      </c>
      <c r="C6" s="554">
        <v>8235632</v>
      </c>
      <c r="D6" s="547">
        <v>2011195</v>
      </c>
      <c r="E6" s="548">
        <v>988250</v>
      </c>
      <c r="F6" s="544">
        <f t="shared" si="0"/>
        <v>11235077</v>
      </c>
    </row>
    <row r="7" spans="2:6" x14ac:dyDescent="0.25">
      <c r="B7" s="552" t="s">
        <v>315</v>
      </c>
      <c r="C7" s="554">
        <v>8235632</v>
      </c>
      <c r="D7" s="547">
        <v>2011195</v>
      </c>
      <c r="E7" s="548">
        <v>988250</v>
      </c>
      <c r="F7" s="544">
        <f t="shared" si="0"/>
        <v>11235077</v>
      </c>
    </row>
    <row r="8" spans="2:6" x14ac:dyDescent="0.25">
      <c r="B8" s="552" t="s">
        <v>316</v>
      </c>
      <c r="C8" s="554">
        <v>8235632</v>
      </c>
      <c r="D8" s="547">
        <v>2011195</v>
      </c>
      <c r="E8" s="548">
        <v>988250</v>
      </c>
      <c r="F8" s="544">
        <f t="shared" si="0"/>
        <v>11235077</v>
      </c>
    </row>
    <row r="9" spans="2:6" ht="13.8" thickBot="1" x14ac:dyDescent="0.3">
      <c r="B9" s="552" t="s">
        <v>317</v>
      </c>
      <c r="C9" s="555">
        <v>8235632</v>
      </c>
      <c r="D9" s="549">
        <v>2011195</v>
      </c>
      <c r="E9" s="550">
        <v>988250</v>
      </c>
      <c r="F9" s="555">
        <f t="shared" si="0"/>
        <v>11235077</v>
      </c>
    </row>
    <row r="10" spans="2:6" ht="14.4" thickTop="1" thickBot="1" x14ac:dyDescent="0.3">
      <c r="B10" s="552" t="s">
        <v>318</v>
      </c>
      <c r="C10" s="551">
        <f>SUM(C4:C9)</f>
        <v>50544036</v>
      </c>
      <c r="D10" s="556">
        <v>12508928</v>
      </c>
      <c r="E10" s="557">
        <f>SUM(E4:E9)</f>
        <v>6553940</v>
      </c>
      <c r="F10" s="598">
        <f>SUM(F4:F9)</f>
        <v>69606904</v>
      </c>
    </row>
    <row r="12" spans="2:6" x14ac:dyDescent="0.25">
      <c r="F12" s="597" t="s">
        <v>26</v>
      </c>
    </row>
  </sheetData>
  <mergeCells count="1">
    <mergeCell ref="C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PNA</vt:lpstr>
      <vt:lpstr>Building 1</vt:lpstr>
      <vt:lpstr>Summary</vt:lpstr>
      <vt:lpstr>'Building 1'!Print_Area</vt:lpstr>
      <vt:lpstr>PNA!Print_Area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steves</dc:creator>
  <cp:lastModifiedBy>steves</cp:lastModifiedBy>
  <cp:lastPrinted>2024-09-17T20:14:52Z</cp:lastPrinted>
  <dcterms:created xsi:type="dcterms:W3CDTF">2022-02-07T23:06:36Z</dcterms:created>
  <dcterms:modified xsi:type="dcterms:W3CDTF">2024-11-07T04:42:38Z</dcterms:modified>
</cp:coreProperties>
</file>